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andreyk/Desktop/Analysis_Projects/Module 1 Challenge/"/>
    </mc:Choice>
  </mc:AlternateContent>
  <xr:revisionPtr revIDLastSave="0" documentId="13_ncr:1_{CA2D78D3-1682-B94E-9675-CEE1CA28A85D}" xr6:coauthVersionLast="47" xr6:coauthVersionMax="47" xr10:uidLastSave="{00000000-0000-0000-0000-000000000000}"/>
  <bookViews>
    <workbookView xWindow="580" yWindow="1600" windowWidth="33620" windowHeight="15040" firstSheet="4" activeTab="5" xr2:uid="{00000000-000D-0000-FFFF-FFFF00000000}"/>
  </bookViews>
  <sheets>
    <sheet name="Category Statistics" sheetId="2" r:id="rId1"/>
    <sheet name="Subcategory Statistics" sheetId="3" r:id="rId2"/>
    <sheet name="Outcomes Based on Launch Date" sheetId="4" r:id="rId3"/>
    <sheet name="Edinburgh Research" sheetId="5" r:id="rId4"/>
    <sheet name="Descriptive Statistics" sheetId="8" r:id="rId5"/>
    <sheet name="Theater Outcomes by Launch Date" sheetId="11" r:id="rId6"/>
    <sheet name="Outcomes Based on Goals" sheetId="12" r:id="rId7"/>
    <sheet name="Outcomes Based on Pledget" sheetId="13" r:id="rId8"/>
    <sheet name="Kickstarter" sheetId="1" r:id="rId9"/>
  </sheets>
  <definedNames>
    <definedName name="_xlnm._FilterDatabase" localSheetId="8" hidden="1">Kickstarter!$A$1:$U$4115</definedName>
  </definedNames>
  <calcPr calcId="191029"/>
  <pivotCaches>
    <pivotCache cacheId="0" r:id="rId10"/>
    <pivotCache cacheId="1" r:id="rId11"/>
    <pivotCache cacheId="2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" i="12" l="1"/>
  <c r="H4" i="12"/>
  <c r="H5" i="12"/>
  <c r="H6" i="12"/>
  <c r="H7" i="12"/>
  <c r="H8" i="12"/>
  <c r="H9" i="12"/>
  <c r="H10" i="12"/>
  <c r="H11" i="12"/>
  <c r="H12" i="12"/>
  <c r="H13" i="12"/>
  <c r="H2" i="12"/>
  <c r="G4" i="12"/>
  <c r="G5" i="12"/>
  <c r="G6" i="12"/>
  <c r="G7" i="12"/>
  <c r="G8" i="12"/>
  <c r="G9" i="12"/>
  <c r="G10" i="12"/>
  <c r="G11" i="12"/>
  <c r="G12" i="12"/>
  <c r="G13" i="12"/>
  <c r="G2" i="12"/>
  <c r="F4" i="12"/>
  <c r="F5" i="12"/>
  <c r="F6" i="12"/>
  <c r="F7" i="12"/>
  <c r="F8" i="12"/>
  <c r="F9" i="12"/>
  <c r="F10" i="12"/>
  <c r="F11" i="12"/>
  <c r="F12" i="12"/>
  <c r="F13" i="12"/>
  <c r="F2" i="12"/>
  <c r="E4" i="12"/>
  <c r="E5" i="12"/>
  <c r="E6" i="12"/>
  <c r="E7" i="12"/>
  <c r="E8" i="12"/>
  <c r="E9" i="12"/>
  <c r="E10" i="12"/>
  <c r="E11" i="12"/>
  <c r="E12" i="12"/>
  <c r="E13" i="12"/>
  <c r="E2" i="12"/>
  <c r="D13" i="12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3" i="12"/>
  <c r="C2" i="12"/>
  <c r="B13" i="12"/>
  <c r="B12" i="12"/>
  <c r="B11" i="12"/>
  <c r="B10" i="12"/>
  <c r="B9" i="12"/>
  <c r="B8" i="12"/>
  <c r="B7" i="12"/>
  <c r="B6" i="12"/>
  <c r="B5" i="12"/>
  <c r="B4" i="12"/>
  <c r="B2" i="12"/>
  <c r="B7" i="13"/>
  <c r="B5" i="13"/>
  <c r="B4" i="13"/>
  <c r="B3" i="13"/>
  <c r="B2" i="13"/>
  <c r="C13" i="8"/>
  <c r="C12" i="8"/>
  <c r="C14" i="8" s="1"/>
  <c r="C11" i="8"/>
  <c r="B13" i="8"/>
  <c r="B12" i="8"/>
  <c r="B14" i="8" s="1"/>
  <c r="B11" i="8"/>
  <c r="C6" i="8"/>
  <c r="C5" i="8"/>
  <c r="C4" i="8"/>
  <c r="B6" i="8"/>
  <c r="B5" i="8"/>
  <c r="B4" i="8"/>
  <c r="C10" i="8"/>
  <c r="B10" i="8"/>
  <c r="C9" i="8"/>
  <c r="B9" i="8"/>
  <c r="C3" i="8"/>
  <c r="B3" i="8"/>
  <c r="C2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7" i="8" l="1"/>
  <c r="B7" i="8"/>
  <c r="E3" i="12"/>
  <c r="B6" i="13"/>
  <c r="H3" i="12" l="1"/>
  <c r="G3" i="12"/>
  <c r="F3" i="12"/>
</calcChain>
</file>

<file path=xl/sharedStrings.xml><?xml version="1.0" encoding="utf-8"?>
<sst xmlns="http://schemas.openxmlformats.org/spreadsheetml/2006/main" count="33056" uniqueCount="8422">
  <si>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</si>
  <si>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</si>
  <si>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</si>
  <si>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</si>
  <si>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</si>
  <si>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</si>
  <si>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</si>
  <si>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</si>
  <si>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</si>
  <si>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</si>
  <si>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</si>
  <si>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</si>
  <si>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</si>
  <si>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</si>
  <si>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</si>
  <si>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</si>
  <si>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</si>
  <si>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</si>
  <si>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</si>
  <si>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</si>
  <si>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</si>
  <si>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</si>
  <si>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</si>
  <si>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</si>
  <si>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</si>
  <si>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</si>
  <si>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</si>
  <si>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</si>
  <si>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</si>
  <si>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</si>
  <si>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</si>
  <si>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</si>
  <si>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</si>
  <si>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</si>
  <si>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</si>
  <si>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</si>
  <si>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</si>
  <si>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</si>
  <si>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</si>
  <si>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</si>
  <si>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</si>
  <si>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</si>
  <si>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</si>
  <si>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</si>
  <si>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</si>
  <si>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</si>
  <si>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</si>
  <si>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</si>
  <si>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</si>
  <si>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</si>
  <si>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</si>
  <si>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</si>
  <si>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</si>
  <si>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</si>
  <si>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</si>
  <si>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</si>
  <si>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</si>
  <si>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</si>
  <si>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</si>
  <si>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</si>
  <si>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</si>
  <si>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</si>
  <si>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</si>
  <si>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</si>
  <si>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</si>
  <si>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</si>
  <si>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</si>
  <si>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</si>
  <si>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</si>
  <si>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</si>
  <si>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</si>
  <si>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</si>
  <si>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</si>
  <si>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</si>
  <si>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</si>
  <si>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</si>
  <si>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</si>
  <si>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</si>
  <si>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</si>
  <si>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</si>
  <si>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</si>
  <si>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</si>
  <si>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</si>
  <si>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</si>
  <si>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</si>
  <si>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</si>
  <si>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</si>
  <si>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</si>
  <si>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</si>
  <si>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</si>
  <si>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</si>
  <si>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</si>
  <si>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</si>
  <si>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</si>
  <si>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</si>
  <si>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</si>
  <si>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</si>
  <si>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</si>
  <si>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</si>
  <si>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</si>
  <si>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</si>
  <si>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</si>
  <si>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</si>
  <si>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</si>
  <si>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</si>
  <si>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</si>
  <si>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</si>
  <si>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</si>
  <si>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</si>
  <si>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</si>
  <si>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</si>
  <si>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</si>
  <si>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</si>
  <si>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</si>
  <si>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</si>
  <si>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</si>
  <si>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</si>
  <si>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</si>
  <si>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</si>
  <si>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</si>
  <si>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</si>
  <si>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</si>
  <si>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</si>
  <si>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</si>
  <si>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</si>
  <si>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</si>
  <si>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</si>
  <si>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</si>
  <si>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</si>
  <si>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</si>
  <si>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</si>
  <si>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</si>
  <si>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</si>
  <si>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</si>
  <si>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</si>
  <si>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</si>
  <si>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</si>
  <si>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</si>
  <si>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</si>
  <si>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</si>
  <si>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</si>
  <si>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</si>
  <si>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</si>
  <si>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</si>
  <si>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</si>
  <si>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</si>
  <si>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</si>
  <si>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</si>
  <si>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</si>
  <si>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</si>
  <si>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</si>
  <si>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</si>
  <si>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</si>
  <si>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</si>
  <si>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</si>
  <si>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</si>
  <si>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</si>
  <si>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</si>
  <si>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</si>
  <si>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</si>
  <si>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</si>
  <si>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</si>
  <si>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</si>
  <si>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</si>
  <si>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</si>
  <si>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</si>
  <si>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</si>
  <si>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</si>
  <si>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</si>
  <si>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</si>
  <si>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</si>
  <si>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</si>
  <si>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</si>
  <si>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</si>
  <si>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</si>
  <si>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</si>
  <si>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</si>
  <si>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</si>
  <si>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</si>
  <si>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</si>
  <si>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</si>
  <si>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</si>
  <si>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</si>
  <si>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</si>
  <si>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</si>
  <si>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</si>
  <si>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</si>
  <si>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</si>
  <si>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</si>
  <si>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</si>
  <si>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</si>
  <si>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</si>
  <si>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</si>
  <si>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</si>
  <si>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</si>
  <si>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</si>
  <si>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</si>
  <si>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</si>
  <si>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</si>
  <si>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</si>
  <si>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</si>
  <si>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</si>
  <si>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</si>
  <si>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</si>
  <si>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</si>
  <si>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</si>
  <si>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</si>
  <si>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</si>
  <si>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</si>
  <si>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</si>
  <si>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</si>
  <si>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</si>
  <si>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</si>
  <si>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</si>
  <si>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</si>
  <si>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</si>
  <si>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</si>
  <si>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</si>
  <si>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</si>
  <si>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</si>
  <si>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</si>
  <si>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</si>
  <si>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</si>
  <si>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</si>
  <si>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</si>
  <si>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</si>
  <si>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</si>
  <si>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</si>
  <si>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</si>
  <si>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</si>
  <si>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</si>
  <si>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</si>
  <si>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</si>
  <si>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</si>
  <si>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</si>
  <si>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</si>
  <si>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</si>
  <si>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</si>
  <si>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</si>
  <si>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</si>
  <si>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</si>
  <si>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</si>
  <si>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</si>
  <si>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</si>
  <si>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</si>
  <si>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</si>
  <si>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</si>
  <si>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</si>
  <si>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</si>
  <si>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</si>
  <si>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</si>
  <si>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</si>
  <si>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</si>
  <si>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</si>
  <si>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</si>
  <si>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</si>
  <si>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</si>
  <si>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</si>
  <si>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</si>
  <si>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</si>
  <si>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</si>
  <si>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</si>
  <si>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</si>
  <si>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</si>
  <si>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</si>
  <si>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</si>
  <si>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</si>
  <si>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</si>
  <si>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</si>
  <si>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</si>
  <si>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</si>
  <si>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</si>
  <si>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</si>
  <si>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</si>
  <si>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</si>
  <si>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</si>
  <si>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</si>
  <si>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</si>
  <si>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</si>
  <si>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</si>
  <si>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</si>
  <si>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</si>
  <si>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</si>
  <si>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</si>
  <si>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</si>
  <si>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</si>
  <si>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</si>
  <si>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</si>
  <si>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</si>
  <si>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</si>
  <si>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</si>
  <si>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</si>
  <si>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</si>
  <si>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</si>
  <si>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</si>
  <si>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</si>
  <si>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</si>
  <si>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</si>
  <si>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</si>
  <si>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</si>
  <si>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</si>
  <si>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</si>
  <si>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</si>
  <si>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</si>
  <si>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</si>
  <si>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</si>
  <si>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</si>
  <si>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</si>
  <si>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</si>
  <si>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</si>
  <si>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</si>
  <si>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</si>
  <si>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</si>
  <si>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</si>
  <si>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</si>
  <si>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</si>
  <si>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</si>
  <si>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</si>
  <si>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</si>
  <si>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</si>
  <si>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</si>
  <si>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</si>
  <si>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</si>
  <si>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</si>
  <si>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</si>
  <si>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</si>
  <si>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</si>
  <si>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</si>
  <si>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</si>
  <si>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</si>
  <si>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</si>
  <si>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</si>
  <si>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</si>
  <si>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</si>
  <si>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</si>
  <si>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</si>
  <si>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</si>
  <si>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</si>
  <si>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</si>
  <si>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</si>
  <si>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</si>
  <si>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</si>
  <si>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</si>
  <si>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</si>
  <si>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</si>
  <si>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</si>
  <si>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</si>
  <si>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</si>
  <si>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</si>
  <si>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</si>
  <si>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</si>
  <si>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</si>
  <si>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</si>
  <si>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</si>
  <si>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</si>
  <si>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</si>
  <si>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</si>
  <si>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</si>
  <si>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</si>
  <si>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</si>
  <si>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</si>
  <si>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</si>
  <si>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</si>
  <si>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</si>
  <si>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</si>
  <si>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</si>
  <si>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</si>
  <si>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</si>
  <si>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</si>
  <si>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</si>
  <si>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</si>
  <si>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</si>
  <si>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</si>
  <si>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</si>
  <si>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</si>
  <si>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</si>
  <si>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</si>
  <si>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</si>
  <si>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</si>
  <si>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</si>
  <si>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</si>
  <si>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</si>
  <si>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</si>
  <si>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</si>
  <si>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</si>
  <si>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</si>
  <si>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</si>
  <si>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</si>
  <si>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</si>
  <si>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</si>
  <si>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</si>
  <si>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</si>
  <si>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</si>
  <si>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</si>
  <si>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</si>
  <si>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</si>
  <si>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</si>
  <si>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</si>
  <si>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</si>
  <si>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</si>
  <si>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</si>
  <si>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</si>
  <si>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</si>
  <si>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</si>
  <si>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</si>
  <si>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</si>
  <si>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</si>
  <si>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</si>
  <si>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</si>
  <si>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</si>
  <si>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</si>
  <si>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</si>
  <si>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</si>
  <si>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</si>
  <si>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</si>
  <si>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</si>
  <si>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</si>
  <si>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</si>
  <si>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</si>
  <si>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</si>
  <si>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</si>
  <si>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</si>
  <si>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</si>
  <si>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</si>
  <si>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</si>
  <si>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</si>
  <si>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</si>
  <si>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</si>
  <si>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</si>
  <si>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</si>
  <si>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</si>
  <si>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</si>
  <si>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</si>
  <si>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</si>
  <si>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</si>
  <si>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</si>
  <si>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</si>
  <si>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</si>
  <si>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</si>
  <si>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</si>
  <si>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</si>
  <si>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</si>
  <si>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</si>
  <si>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</si>
  <si>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</si>
  <si>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</si>
  <si>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</si>
  <si>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</si>
  <si>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</si>
  <si>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</si>
  <si>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</si>
  <si>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</si>
  <si>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</si>
  <si>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</si>
  <si>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</si>
  <si>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</si>
  <si>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</si>
  <si>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</si>
  <si>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</si>
  <si>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</si>
  <si>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</si>
  <si>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</si>
  <si>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</si>
  <si>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</si>
  <si>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</si>
  <si>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</si>
  <si>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</si>
  <si>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</si>
  <si>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</si>
  <si>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</si>
  <si>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</si>
  <si>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</si>
  <si>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</si>
  <si>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</si>
  <si>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</si>
  <si>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</si>
  <si>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</si>
  <si>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</si>
  <si>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</si>
  <si>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</si>
  <si>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</si>
  <si>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</si>
  <si>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</si>
  <si>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</si>
  <si>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</si>
  <si>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</si>
  <si>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</si>
  <si>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</si>
  <si>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</si>
  <si>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</si>
  <si>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</si>
  <si>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</si>
  <si>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</si>
  <si>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</si>
  <si>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</si>
  <si>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</si>
  <si>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</si>
  <si>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</si>
  <si>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</si>
  <si>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</si>
  <si>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</si>
  <si>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</si>
  <si>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</si>
  <si>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</si>
  <si>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</si>
  <si>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</si>
  <si>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</si>
  <si>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</si>
  <si>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</si>
  <si>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</si>
  <si>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</si>
  <si>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</si>
  <si>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</si>
  <si>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</si>
  <si>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</si>
  <si>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</si>
  <si>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</si>
  <si>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</si>
  <si>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</si>
  <si>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</si>
  <si>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</si>
  <si>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</si>
  <si>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</si>
  <si>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</si>
  <si>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</si>
  <si>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</si>
  <si>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</si>
  <si>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</si>
  <si>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</si>
  <si>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</si>
  <si>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</si>
  <si>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</si>
  <si>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</si>
  <si>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</si>
  <si>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</si>
  <si>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</si>
  <si>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</si>
  <si>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</si>
  <si>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</si>
  <si>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</si>
  <si>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</si>
  <si>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</si>
  <si>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</si>
  <si>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</si>
  <si>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</si>
  <si>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</si>
  <si>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</si>
  <si>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</si>
  <si>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</si>
  <si>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</si>
  <si>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</si>
  <si>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</si>
  <si>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</si>
  <si>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</si>
  <si>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</si>
  <si>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</si>
  <si>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</si>
  <si>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</si>
  <si>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</si>
  <si>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</si>
  <si>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</si>
  <si>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</si>
  <si>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</si>
  <si>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</si>
  <si>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</si>
  <si>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</si>
  <si>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</si>
  <si>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</si>
  <si>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</si>
  <si>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</si>
  <si>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</si>
  <si>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</si>
  <si>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</si>
  <si>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</si>
  <si>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</si>
  <si>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</si>
  <si>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</si>
  <si>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</si>
  <si>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</si>
  <si>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</si>
  <si>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</si>
  <si>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</si>
  <si>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</si>
  <si>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</si>
  <si>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</si>
  <si>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</si>
  <si>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</si>
  <si>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</si>
  <si>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</si>
  <si>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</si>
  <si>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</si>
  <si>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</si>
  <si>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</si>
  <si>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</si>
  <si>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</si>
  <si>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</si>
  <si>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</si>
  <si>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</si>
  <si>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</si>
  <si>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</si>
  <si>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</si>
  <si>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</si>
  <si>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</si>
  <si>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</si>
  <si>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</si>
  <si>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</si>
  <si>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</si>
  <si>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</si>
  <si>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</si>
  <si>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</si>
  <si>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</si>
  <si>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</si>
  <si>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</si>
  <si>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</si>
  <si>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</si>
  <si>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</si>
  <si>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</si>
  <si>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</si>
  <si>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</si>
  <si>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</si>
  <si>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</si>
  <si>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</si>
  <si>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</si>
  <si>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</si>
  <si>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</si>
  <si>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</si>
  <si>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</si>
  <si>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</si>
  <si>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</si>
  <si>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</si>
  <si>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</si>
  <si>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</si>
  <si>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</si>
  <si>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</si>
  <si>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</si>
  <si>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</si>
  <si>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</si>
  <si>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</si>
  <si>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</si>
  <si>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</si>
  <si>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</si>
  <si>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</si>
  <si>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</si>
  <si>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</si>
  <si>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</si>
  <si>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</si>
  <si>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</si>
  <si>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</si>
  <si>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</si>
  <si>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</si>
  <si>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</si>
  <si>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</si>
  <si>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</si>
  <si>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</si>
  <si>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</si>
  <si>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</si>
  <si>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</si>
  <si>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</si>
  <si>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</si>
  <si>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</si>
  <si>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</si>
  <si>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</si>
  <si>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</si>
  <si>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</si>
  <si>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</si>
  <si>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</si>
  <si>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</si>
  <si>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</si>
  <si>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</si>
  <si>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</si>
  <si>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</si>
  <si>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</si>
  <si>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</si>
  <si>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</si>
  <si>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</si>
  <si>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</si>
  <si>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</si>
  <si>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</si>
  <si>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</si>
  <si>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</si>
  <si>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</si>
  <si>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</si>
  <si>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</si>
  <si>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</si>
  <si>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</si>
  <si>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</si>
  <si>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</si>
  <si>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</si>
  <si>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</si>
  <si>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</si>
  <si>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</si>
  <si>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</si>
  <si>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</si>
  <si>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</si>
  <si>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</si>
  <si>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</si>
  <si>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</si>
  <si>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</si>
  <si>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</si>
  <si>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</si>
  <si>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</si>
  <si>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</si>
  <si>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</si>
  <si>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</si>
  <si>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</si>
  <si>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</si>
  <si>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</si>
  <si>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</si>
  <si>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</si>
  <si>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</si>
  <si>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</si>
  <si>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</si>
  <si>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</si>
  <si>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</si>
  <si>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</si>
  <si>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</si>
  <si>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</si>
  <si>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</si>
  <si>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</si>
  <si>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</si>
  <si>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</si>
  <si>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</si>
  <si>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</si>
  <si>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</si>
  <si>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</si>
  <si>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</si>
  <si>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</si>
  <si>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</si>
  <si>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</si>
  <si>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</si>
  <si>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</si>
  <si>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</si>
  <si>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</si>
  <si>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</si>
  <si>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</si>
  <si>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</si>
  <si>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</si>
  <si>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</si>
  <si>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</si>
  <si>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</si>
  <si>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</si>
  <si>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</si>
  <si>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</si>
  <si>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</si>
  <si>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</si>
  <si>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</si>
  <si>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</si>
  <si>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</si>
  <si>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</si>
  <si>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</si>
  <si>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</si>
  <si>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</si>
  <si>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</si>
  <si>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</si>
  <si>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</si>
  <si>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</si>
  <si>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</si>
  <si>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</si>
  <si>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</si>
  <si>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</si>
  <si>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</si>
  <si>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</si>
  <si>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</si>
  <si>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</si>
  <si>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</si>
  <si>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</si>
  <si>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</si>
  <si>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</si>
  <si>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</si>
  <si>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</si>
  <si>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</si>
  <si>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</si>
  <si>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</si>
  <si>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</si>
  <si>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</si>
  <si>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</si>
  <si>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</si>
  <si>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</si>
  <si>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</si>
  <si>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</si>
  <si>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</si>
  <si>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</si>
  <si>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</si>
  <si>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</si>
  <si>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</si>
  <si>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</si>
  <si>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</si>
  <si>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</si>
  <si>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</si>
  <si>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</si>
  <si>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</si>
  <si>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</si>
  <si>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</si>
  <si>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</si>
  <si>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</si>
  <si>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</si>
  <si>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</si>
  <si>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</si>
  <si>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</si>
  <si>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</si>
  <si>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</si>
  <si>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</si>
  <si>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</si>
  <si>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</si>
  <si>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</si>
  <si>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</si>
  <si>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</si>
  <si>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</si>
  <si>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</si>
  <si>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</si>
  <si>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</si>
  <si>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</si>
  <si>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</si>
  <si>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</si>
  <si>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</si>
  <si>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</si>
  <si>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</si>
  <si>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</si>
  <si>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</si>
  <si>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</si>
  <si>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</si>
  <si>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</si>
  <si>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</si>
  <si>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</si>
  <si>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</si>
  <si>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</si>
  <si>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</si>
  <si>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</si>
  <si>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</si>
  <si>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</si>
  <si>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</si>
  <si>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</si>
  <si>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</si>
  <si>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</si>
  <si>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</si>
  <si>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</si>
  <si>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</si>
  <si>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</si>
  <si>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</si>
  <si>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</si>
  <si>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</si>
  <si>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</si>
  <si>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</si>
  <si>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</si>
  <si>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</si>
  <si>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</si>
  <si>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</si>
  <si>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</si>
  <si>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</si>
  <si>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</si>
  <si>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</si>
  <si>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</si>
  <si>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</si>
  <si>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</si>
  <si>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</si>
  <si>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</si>
  <si>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</si>
  <si>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</si>
  <si>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</si>
  <si>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</si>
  <si>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</si>
  <si>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</si>
  <si>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</si>
  <si>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</si>
  <si>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</si>
  <si>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</si>
  <si>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</si>
  <si>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</si>
  <si>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</si>
  <si>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</si>
  <si>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</si>
  <si>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</si>
  <si>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</si>
  <si>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</si>
  <si>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</si>
  <si>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</si>
  <si>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</si>
  <si>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</si>
  <si>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</si>
  <si>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</si>
  <si>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</si>
  <si>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</si>
  <si>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</si>
  <si>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</si>
  <si>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</si>
  <si>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</si>
  <si>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</si>
  <si>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</si>
  <si>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</si>
  <si>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</si>
  <si>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</si>
  <si>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</si>
  <si>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</si>
  <si>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</si>
  <si>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</si>
  <si>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</si>
  <si>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</si>
  <si>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</si>
  <si>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</si>
  <si>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</si>
  <si>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</si>
  <si>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</si>
  <si>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</si>
  <si>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</si>
  <si>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</si>
  <si>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</si>
  <si>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</si>
  <si>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</si>
  <si>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</si>
  <si>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</si>
  <si>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</si>
  <si>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</si>
  <si>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</si>
  <si>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</si>
  <si>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</si>
  <si>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</si>
  <si>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</si>
  <si>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</si>
  <si>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</si>
  <si>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</si>
  <si>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</si>
  <si>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</si>
  <si>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</si>
  <si>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</si>
  <si>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</si>
  <si>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</si>
  <si>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</si>
  <si>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</si>
  <si>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</si>
  <si>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</si>
  <si>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</si>
  <si>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</si>
  <si>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</si>
  <si>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</si>
  <si>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</si>
  <si>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</si>
  <si>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</si>
  <si>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</si>
  <si>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</si>
  <si>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</si>
  <si>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</si>
  <si>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</si>
  <si>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</si>
  <si>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</si>
  <si>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</si>
  <si>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</si>
  <si>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</si>
  <si>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</si>
  <si>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</si>
  <si>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</si>
  <si>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</si>
  <si>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</si>
  <si>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</si>
  <si>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</si>
  <si>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</si>
  <si>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</si>
  <si>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</si>
  <si>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</si>
  <si>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</si>
  <si>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</si>
  <si>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</si>
  <si>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</si>
  <si>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</si>
  <si>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</si>
  <si>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</si>
  <si>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</si>
  <si>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</si>
  <si>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</si>
  <si>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</si>
  <si>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</si>
  <si>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</si>
  <si>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</si>
  <si>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</si>
  <si>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</si>
  <si>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</si>
  <si>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</si>
  <si>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</si>
  <si>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</si>
  <si>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</si>
  <si>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</si>
  <si>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</si>
  <si>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</si>
  <si>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</si>
  <si>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</si>
  <si>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</si>
  <si>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</si>
  <si>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</si>
  <si>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</si>
  <si>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</si>
  <si>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</si>
  <si>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</si>
  <si>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</si>
  <si>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</si>
  <si>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</si>
  <si>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</si>
  <si>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</si>
  <si>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</si>
  <si>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</si>
  <si>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</si>
  <si>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</si>
  <si>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</si>
  <si>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</si>
  <si>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</si>
  <si>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</si>
  <si>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</si>
  <si>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</si>
  <si>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</si>
  <si>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</si>
  <si>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</si>
  <si>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</si>
  <si>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</si>
  <si>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</si>
  <si>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</si>
  <si>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</si>
  <si>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</si>
  <si>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</si>
  <si>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</si>
  <si>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</si>
  <si>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</si>
  <si>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</si>
  <si>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</si>
  <si>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</si>
  <si>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</si>
  <si>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</si>
  <si>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</si>
  <si>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</si>
  <si>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</si>
  <si>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</si>
  <si>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</si>
  <si>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</si>
  <si>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</si>
  <si>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</si>
  <si>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</si>
  <si>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</si>
  <si>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</si>
  <si>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</si>
  <si>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</si>
  <si>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</si>
  <si>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</si>
  <si>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</si>
  <si>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</si>
  <si>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</si>
  <si>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</si>
  <si>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</si>
  <si>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</si>
  <si>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</si>
  <si>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</si>
  <si>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</si>
  <si>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</si>
  <si>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</si>
  <si>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</si>
  <si>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</si>
  <si>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</si>
  <si>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</si>
  <si>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</si>
  <si>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</si>
  <si>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</si>
  <si>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</si>
  <si>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</si>
  <si>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</si>
  <si>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</si>
  <si>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</si>
  <si>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</si>
  <si>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</si>
  <si>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</si>
  <si>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</si>
  <si>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</si>
  <si>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</si>
  <si>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</si>
  <si>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</si>
  <si>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</si>
  <si>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</si>
  <si>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</si>
  <si>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</si>
  <si>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</si>
  <si>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</si>
  <si>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</si>
  <si>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</si>
  <si>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</si>
  <si>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</si>
  <si>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</si>
  <si>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</si>
  <si>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</si>
  <si>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</si>
  <si>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</si>
  <si>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</si>
  <si>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</si>
  <si>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</si>
  <si>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</si>
  <si>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</si>
  <si>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</si>
  <si>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</si>
  <si>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</si>
  <si>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</si>
  <si>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</si>
  <si>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</si>
  <si>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</si>
  <si>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</si>
  <si>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</si>
  <si>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</si>
  <si>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</si>
  <si>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</si>
  <si>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</si>
  <si>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</si>
  <si>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</si>
  <si>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</si>
  <si>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</si>
  <si>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</si>
  <si>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</si>
  <si>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</si>
  <si>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</si>
  <si>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</si>
  <si>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</si>
  <si>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</si>
  <si>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</si>
  <si>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</si>
  <si>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</si>
  <si>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</si>
  <si>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</si>
  <si>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</si>
  <si>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</si>
  <si>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</si>
  <si>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</si>
  <si>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</si>
  <si>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</si>
  <si>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</si>
  <si>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</si>
  <si>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</si>
  <si>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</si>
  <si>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</si>
  <si>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</si>
  <si>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</si>
  <si>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</si>
  <si>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</si>
  <si>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</si>
  <si>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</si>
  <si>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</si>
  <si>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</si>
  <si>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</si>
  <si>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</si>
  <si>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</si>
  <si>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</si>
  <si>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</si>
  <si>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</si>
  <si>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</si>
  <si>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</si>
  <si>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</si>
  <si>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</si>
  <si>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</si>
  <si>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</si>
  <si>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</si>
  <si>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</si>
  <si>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</si>
  <si>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</si>
  <si>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</si>
  <si>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</si>
  <si>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</si>
  <si>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</si>
  <si>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</si>
  <si>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</si>
  <si>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</si>
  <si>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</si>
  <si>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</si>
  <si>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</si>
  <si>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</si>
  <si>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</si>
  <si>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</si>
  <si>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</si>
  <si>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</si>
  <si>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</si>
  <si>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</si>
  <si>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</si>
  <si>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</si>
  <si>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</si>
  <si>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</si>
  <si>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</si>
  <si>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</si>
  <si>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</si>
  <si>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</si>
  <si>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</si>
  <si>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</si>
  <si>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</si>
  <si>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</si>
  <si>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</si>
  <si>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</si>
  <si>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</si>
  <si>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</si>
  <si>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</si>
  <si>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</si>
  <si>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</si>
  <si>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</si>
  <si>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</si>
  <si>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</si>
  <si>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</si>
  <si>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</si>
  <si>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</si>
  <si>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</si>
  <si>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</si>
  <si>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</si>
  <si>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</si>
  <si>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</si>
  <si>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</si>
  <si>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</si>
  <si>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</si>
  <si>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</si>
  <si>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</si>
  <si>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</si>
  <si>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</si>
  <si>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</si>
  <si>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</si>
  <si>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</si>
  <si>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</si>
  <si>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</si>
  <si>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</si>
  <si>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</si>
  <si>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</si>
  <si>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</si>
  <si>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</si>
  <si>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</si>
  <si>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</si>
  <si>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</si>
  <si>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</si>
  <si>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</si>
  <si>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</si>
  <si>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</si>
  <si>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</si>
  <si>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</si>
  <si>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</si>
  <si>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</si>
  <si>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</si>
  <si>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</si>
  <si>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</si>
  <si>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</si>
  <si>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</si>
  <si>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</si>
  <si>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</si>
  <si>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</si>
  <si>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</si>
  <si>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</si>
  <si>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</si>
  <si>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</si>
  <si>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</si>
  <si>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</si>
  <si>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</si>
  <si>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</si>
  <si>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</si>
  <si>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</si>
  <si>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</si>
  <si>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</si>
  <si>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</si>
  <si>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</si>
  <si>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</si>
  <si>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</si>
  <si>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</si>
  <si>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</si>
  <si>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</si>
  <si>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</si>
  <si>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</si>
  <si>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</si>
  <si>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</si>
  <si>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</si>
  <si>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</si>
  <si>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</si>
  <si>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</si>
  <si>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</si>
  <si>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</si>
  <si>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</si>
  <si>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</si>
  <si>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</si>
  <si>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</si>
  <si>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</si>
  <si>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</si>
  <si>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</si>
  <si>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</si>
  <si>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</si>
  <si>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</si>
  <si>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</si>
  <si>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</si>
  <si>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</si>
  <si>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</si>
  <si>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</si>
  <si>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</si>
  <si>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</si>
  <si>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</si>
  <si>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</si>
  <si>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</si>
  <si>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</si>
  <si>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</si>
  <si>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</si>
  <si>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</si>
  <si>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</si>
  <si>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</si>
  <si>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</si>
  <si>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</si>
  <si>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</si>
  <si>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</si>
  <si>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</si>
  <si>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</si>
  <si>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</si>
  <si>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</si>
  <si>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</si>
  <si>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</si>
  <si>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</si>
  <si>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</si>
  <si>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</si>
  <si>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</si>
  <si>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</si>
  <si>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</si>
  <si>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</si>
  <si>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</si>
  <si>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</si>
  <si>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</si>
  <si>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</si>
  <si>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</si>
  <si>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</si>
  <si>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</si>
  <si>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</si>
  <si>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</si>
  <si>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</si>
  <si>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</si>
  <si>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</si>
  <si>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</si>
  <si>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</si>
  <si>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</si>
  <si>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</si>
  <si>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</si>
  <si>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</si>
  <si>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</si>
  <si>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</si>
  <si>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</si>
  <si>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</si>
  <si>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</si>
  <si>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</si>
  <si>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</si>
  <si>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</si>
  <si>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</si>
  <si>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</si>
  <si>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</si>
  <si>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</si>
  <si>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</si>
  <si>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</si>
  <si>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</si>
  <si>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</si>
  <si>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</si>
  <si>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</si>
  <si>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</si>
  <si>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</si>
  <si>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</si>
  <si>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</si>
  <si>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</si>
  <si>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</si>
  <si>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</si>
  <si>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</si>
  <si>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</si>
  <si>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</si>
  <si>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</si>
  <si>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</si>
  <si>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</si>
  <si>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</si>
  <si>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</si>
  <si>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</si>
  <si>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</si>
  <si>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</si>
  <si>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</si>
  <si>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</si>
  <si>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</si>
  <si>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</si>
  <si>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</si>
  <si>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</si>
  <si>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</si>
  <si>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</si>
  <si>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</si>
  <si>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</si>
  <si>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</si>
  <si>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</si>
  <si>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</si>
  <si>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</si>
  <si>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</si>
  <si>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</si>
  <si>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</si>
  <si>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</si>
  <si>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</si>
  <si>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</si>
  <si>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</si>
  <si>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</si>
  <si>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</si>
  <si>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</si>
  <si>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</si>
  <si>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</si>
  <si>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</si>
  <si>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</si>
  <si>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</si>
  <si>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</si>
  <si>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</si>
  <si>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</si>
  <si>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</si>
  <si>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</si>
  <si>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</si>
  <si>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</si>
  <si>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</si>
  <si>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</si>
  <si>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</si>
  <si>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</si>
  <si>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</si>
  <si>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</si>
  <si>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</si>
  <si>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</si>
  <si>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</si>
  <si>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</si>
  <si>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</si>
  <si>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</si>
  <si>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</si>
  <si>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</si>
  <si>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</si>
  <si>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</si>
  <si>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</si>
  <si>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</si>
  <si>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</si>
  <si>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</si>
  <si>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</si>
  <si>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</si>
  <si>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</si>
  <si>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</si>
  <si>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</si>
  <si>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</si>
  <si>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</si>
  <si>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</si>
  <si>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</si>
  <si>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</si>
  <si>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</si>
  <si>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</si>
  <si>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</si>
  <si>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</si>
  <si>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</si>
  <si>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</si>
  <si>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</si>
  <si>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</si>
  <si>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</si>
  <si>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</si>
  <si>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</si>
  <si>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</si>
  <si>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</si>
  <si>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</si>
  <si>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</si>
  <si>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</si>
  <si>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</si>
  <si>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</si>
  <si>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</si>
  <si>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</si>
  <si>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</si>
  <si>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</si>
  <si>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</si>
  <si>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</si>
  <si>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</si>
  <si>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</si>
  <si>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</si>
  <si>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</si>
  <si>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</si>
  <si>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</si>
  <si>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</si>
  <si>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</si>
  <si>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</si>
  <si>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</si>
  <si>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</si>
  <si>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</si>
  <si>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</si>
  <si>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</si>
  <si>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</si>
  <si>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</si>
  <si>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</si>
  <si>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</si>
  <si>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</si>
  <si>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</si>
  <si>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</si>
  <si>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</si>
  <si>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</si>
  <si>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</si>
  <si>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</si>
  <si>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</si>
  <si>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</si>
  <si>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</si>
  <si>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</si>
  <si>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</si>
  <si>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</si>
  <si>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</si>
  <si>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</si>
  <si>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</si>
  <si>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</si>
  <si>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</si>
  <si>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</si>
  <si>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</si>
  <si>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</si>
  <si>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</si>
  <si>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</si>
  <si>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</si>
  <si>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</si>
  <si>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</si>
  <si>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</si>
  <si>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</si>
  <si>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</si>
  <si>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</si>
  <si>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</si>
  <si>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</si>
  <si>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</si>
  <si>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</si>
  <si>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</si>
  <si>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</si>
  <si>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</si>
  <si>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</si>
  <si>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</si>
  <si>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</si>
  <si>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</si>
  <si>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</si>
  <si>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</si>
  <si>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</si>
  <si>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</si>
  <si>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</si>
  <si>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</si>
  <si>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</si>
  <si>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</si>
  <si>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</si>
  <si>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</si>
  <si>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</si>
  <si>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</si>
  <si>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</si>
  <si>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</si>
  <si>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</si>
  <si>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</si>
  <si>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</si>
  <si>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</si>
  <si>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</si>
  <si>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</si>
  <si>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</si>
  <si>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</si>
  <si>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</si>
  <si>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</si>
  <si>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</si>
  <si>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</si>
  <si>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</si>
  <si>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</si>
  <si>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</si>
  <si>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</si>
  <si>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</si>
  <si>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</si>
  <si>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</si>
  <si>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</si>
  <si>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</si>
  <si>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</si>
  <si>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</si>
  <si>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</si>
  <si>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</si>
  <si>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</si>
  <si>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</si>
  <si>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</si>
  <si>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</si>
  <si>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</si>
  <si>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</si>
  <si>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</si>
  <si>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</si>
  <si>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</si>
  <si>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</si>
  <si>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</si>
  <si>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</si>
  <si>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</si>
  <si>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</si>
  <si>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</si>
  <si>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</si>
  <si>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</si>
  <si>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</si>
  <si>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</si>
  <si>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</si>
  <si>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</si>
  <si>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</si>
  <si>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</si>
  <si>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</si>
  <si>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</si>
  <si>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</si>
  <si>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</si>
  <si>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</si>
  <si>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</si>
  <si>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</si>
  <si>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</si>
  <si>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</si>
  <si>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</si>
  <si>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</si>
  <si>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</si>
  <si>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</si>
  <si>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</si>
  <si>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</si>
  <si>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</si>
  <si>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</si>
  <si>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</si>
  <si>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</si>
  <si>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</si>
  <si>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</si>
  <si>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</si>
  <si>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</si>
  <si>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</si>
  <si>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</si>
  <si>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</si>
  <si>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</si>
  <si>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</si>
  <si>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</si>
  <si>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</si>
  <si>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</si>
  <si>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</si>
  <si>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</si>
  <si>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</si>
  <si>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</si>
  <si>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</si>
  <si>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</si>
  <si>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</si>
  <si>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</si>
  <si>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</si>
  <si>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</si>
  <si>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</si>
  <si>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</si>
  <si>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</si>
  <si>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</si>
  <si>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</si>
  <si>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</si>
  <si>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</si>
  <si>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</si>
  <si>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</si>
  <si>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</si>
  <si>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</si>
  <si>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</si>
  <si>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</si>
  <si>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</si>
  <si>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</si>
  <si>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</si>
  <si>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</si>
  <si>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</si>
  <si>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</si>
  <si>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</si>
  <si>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</si>
  <si>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</si>
  <si>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</si>
  <si>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</si>
  <si>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</si>
  <si>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</si>
  <si>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</si>
  <si>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</si>
  <si>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</si>
  <si>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</si>
  <si>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</si>
  <si>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</si>
  <si>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</si>
  <si>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</si>
  <si>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</si>
  <si>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</si>
  <si>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</si>
  <si>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</si>
  <si>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</si>
  <si>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</si>
  <si>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</si>
  <si>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</si>
  <si>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</si>
  <si>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</si>
  <si>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</si>
  <si>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</si>
  <si>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</si>
  <si>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</si>
  <si>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</si>
  <si>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</si>
  <si>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</si>
  <si>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</si>
  <si>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</si>
  <si>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</si>
  <si>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</si>
  <si>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</si>
  <si>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</si>
  <si>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</si>
  <si>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</si>
  <si>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</si>
  <si>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</si>
  <si>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</si>
  <si>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</si>
  <si>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</si>
  <si>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</si>
  <si>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</si>
  <si>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</si>
  <si>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</si>
  <si>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</si>
  <si>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</si>
  <si>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</si>
  <si>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</si>
  <si>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</si>
  <si>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</si>
  <si>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</si>
  <si>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</si>
  <si>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</si>
  <si>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</si>
  <si>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</si>
  <si>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</si>
  <si>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</si>
  <si>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</si>
  <si>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</si>
  <si>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</si>
  <si>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</si>
  <si>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</si>
  <si>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</si>
  <si>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</si>
  <si>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</si>
  <si>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</si>
  <si>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</si>
  <si>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</si>
  <si>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</si>
  <si>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</si>
  <si>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</si>
  <si>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</si>
  <si>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</si>
  <si>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</si>
  <si>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</si>
  <si>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</si>
  <si>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</si>
  <si>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</si>
  <si>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</si>
  <si>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</si>
  <si>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</si>
  <si>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</si>
  <si>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</si>
  <si>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</si>
  <si>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</si>
  <si>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</si>
  <si>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</si>
  <si>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</si>
  <si>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</si>
  <si>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</si>
  <si>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</si>
  <si>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</si>
  <si>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</si>
  <si>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</si>
  <si>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</si>
  <si>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</si>
  <si>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</si>
  <si>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</si>
  <si>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</si>
  <si>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</si>
  <si>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</si>
  <si>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</si>
  <si>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</si>
  <si>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</si>
  <si>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</si>
  <si>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</si>
  <si>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</si>
  <si>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</si>
  <si>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</si>
  <si>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</si>
  <si>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</si>
  <si>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</si>
  <si>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</si>
  <si>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</si>
  <si>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</si>
  <si>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</si>
  <si>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</si>
  <si>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</si>
  <si>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</si>
  <si>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</si>
  <si>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</si>
  <si>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</si>
  <si>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</si>
  <si>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</si>
  <si>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</si>
  <si>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</si>
  <si>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</si>
  <si>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</si>
  <si>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</si>
  <si>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</si>
  <si>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</si>
  <si>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</si>
  <si>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</si>
  <si>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</si>
  <si>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</si>
  <si>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</si>
  <si>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</si>
  <si>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</si>
  <si>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</si>
  <si>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</si>
  <si>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</si>
  <si>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</si>
  <si>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</si>
  <si>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</si>
  <si>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</si>
  <si>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</si>
  <si>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</si>
  <si>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</si>
  <si>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</si>
  <si>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</si>
  <si>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</si>
  <si>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</si>
  <si>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</si>
  <si>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</si>
  <si>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</si>
  <si>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</si>
  <si>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</si>
  <si>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</si>
  <si>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</si>
  <si>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</si>
  <si>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</si>
  <si>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</si>
  <si>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</si>
  <si>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</si>
  <si>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</si>
  <si>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</si>
  <si>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</si>
  <si>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</si>
  <si>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</si>
  <si>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</si>
  <si>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</si>
  <si>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</si>
  <si>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</si>
  <si>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</si>
  <si>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</si>
  <si>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</si>
  <si>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</si>
  <si>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</si>
  <si>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</si>
  <si>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</si>
  <si>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</si>
  <si>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</si>
  <si>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</si>
  <si>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</si>
  <si>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</si>
  <si>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</si>
  <si>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</si>
  <si>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</si>
  <si>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</si>
  <si>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</si>
  <si>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</si>
  <si>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</si>
  <si>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</si>
  <si>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</si>
  <si>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</si>
  <si>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</si>
  <si>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</si>
  <si>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</si>
  <si>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</si>
  <si>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</si>
  <si>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</si>
  <si>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</si>
  <si>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</si>
  <si>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</si>
  <si>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</si>
  <si>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</si>
  <si>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</si>
  <si>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</si>
  <si>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</si>
  <si>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</si>
  <si>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</si>
  <si>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</si>
  <si>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</si>
  <si>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</si>
  <si>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</si>
  <si>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</si>
  <si>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</si>
  <si>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</si>
  <si>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</si>
  <si>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</si>
  <si>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</si>
  <si>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</si>
  <si>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</si>
  <si>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</si>
  <si>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</si>
  <si>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</si>
  <si>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</si>
  <si>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</si>
  <si>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</si>
  <si>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</si>
  <si>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</si>
  <si>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</si>
  <si>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</si>
  <si>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</si>
  <si>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</si>
  <si>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</si>
  <si>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</si>
  <si>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</si>
  <si>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</si>
  <si>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</si>
  <si>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</si>
  <si>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</si>
  <si>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</si>
  <si>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</si>
  <si>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</si>
  <si>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</si>
  <si>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</si>
  <si>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</si>
  <si>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</si>
  <si>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</si>
  <si>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</si>
  <si>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</si>
  <si>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</si>
  <si>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</si>
  <si>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</si>
  <si>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</si>
  <si>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</si>
  <si>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</si>
  <si>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</si>
  <si>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</si>
  <si>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</si>
  <si>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</si>
  <si>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</si>
  <si>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</si>
  <si>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</si>
  <si>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</si>
  <si>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</si>
  <si>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</si>
  <si>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</si>
  <si>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</si>
  <si>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</si>
  <si>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</si>
  <si>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</si>
  <si>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</si>
  <si>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</si>
  <si>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</si>
  <si>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</si>
  <si>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</si>
  <si>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</si>
  <si>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</si>
  <si>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</si>
  <si>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</si>
  <si>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</si>
  <si>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</si>
  <si>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</si>
  <si>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</si>
  <si>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</si>
  <si>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</si>
  <si>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</si>
  <si>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</si>
  <si>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</si>
  <si>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</si>
  <si>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</si>
  <si>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</si>
  <si>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</si>
  <si>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</si>
  <si>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</si>
  <si>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</si>
  <si>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</si>
  <si>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</si>
  <si>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</si>
  <si>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</si>
  <si>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</si>
  <si>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</si>
  <si>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</si>
  <si>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</si>
  <si>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</si>
  <si>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</si>
  <si>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</si>
  <si>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</si>
  <si>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</si>
  <si>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</si>
  <si>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</si>
  <si>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</si>
  <si>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</si>
  <si>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</si>
  <si>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</si>
  <si>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</si>
  <si>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</si>
  <si>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</si>
  <si>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</si>
  <si>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</si>
  <si>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</si>
  <si>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</si>
  <si>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</si>
  <si>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</si>
  <si>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</si>
  <si>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</si>
  <si>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</si>
  <si>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</si>
  <si>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</si>
  <si>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</si>
  <si>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</si>
  <si>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</si>
  <si>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</si>
  <si>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</si>
  <si>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</si>
  <si>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</si>
  <si>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</si>
  <si>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</si>
  <si>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</si>
  <si>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</si>
  <si>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</si>
  <si>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</si>
  <si>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</si>
  <si>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</si>
  <si>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</si>
  <si>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</si>
  <si>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</si>
  <si>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</si>
  <si>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</si>
  <si>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</si>
  <si>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</si>
  <si>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</si>
  <si>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</si>
  <si>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</si>
  <si>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</si>
  <si>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</si>
  <si>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</si>
  <si>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</si>
  <si>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</si>
  <si>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</si>
  <si>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</si>
  <si>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</si>
  <si>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</si>
  <si>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</si>
  <si>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</si>
  <si>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</si>
  <si>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</si>
  <si>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</si>
  <si>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</si>
  <si>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</si>
  <si>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</si>
  <si>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</si>
  <si>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</si>
  <si>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</si>
  <si>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</si>
  <si>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</si>
  <si>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</si>
  <si>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</si>
  <si>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</si>
  <si>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</si>
  <si>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</si>
  <si>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</si>
  <si>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</si>
  <si>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</si>
  <si>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</si>
  <si>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</si>
  <si>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</si>
  <si>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</si>
  <si>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</si>
  <si>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</si>
  <si>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</si>
  <si>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</si>
  <si>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</si>
  <si>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</si>
  <si>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</si>
  <si>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</si>
  <si>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</si>
  <si>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</si>
  <si>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</si>
  <si>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</si>
  <si>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</si>
  <si>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</si>
  <si>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</si>
  <si>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</si>
  <si>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</si>
  <si>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</si>
  <si>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</si>
  <si>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</si>
  <si>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</si>
  <si>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</si>
  <si>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</si>
  <si>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</si>
  <si>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</si>
  <si>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</si>
  <si>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</si>
  <si>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</si>
  <si>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</si>
  <si>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</si>
  <si>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</si>
  <si>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</si>
  <si>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</si>
  <si>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</si>
  <si>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</si>
  <si>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</si>
  <si>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</si>
  <si>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</si>
  <si>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</si>
  <si>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</si>
  <si>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</si>
  <si>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</si>
  <si>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</si>
  <si>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</si>
  <si>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</si>
  <si>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</si>
  <si>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</si>
  <si>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</si>
  <si>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</si>
  <si>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</si>
  <si>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</si>
  <si>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</si>
  <si>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</si>
  <si>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</si>
  <si>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</si>
  <si>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</si>
  <si>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</si>
  <si>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</si>
  <si>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</si>
  <si>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</si>
  <si>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</si>
  <si>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</si>
  <si>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</si>
  <si>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</si>
  <si>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</si>
  <si>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</si>
  <si>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</si>
  <si>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</si>
  <si>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</si>
  <si>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</si>
  <si>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</si>
  <si>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</si>
  <si>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</si>
  <si>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</si>
  <si>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</si>
  <si>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</si>
  <si>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</si>
  <si>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</si>
  <si>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</si>
  <si>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</si>
  <si>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</si>
  <si>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</si>
  <si>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</si>
  <si>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</si>
  <si>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</si>
  <si>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</si>
  <si>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</si>
  <si>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</si>
  <si>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</si>
  <si>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</si>
  <si>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</si>
  <si>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</si>
  <si>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</si>
  <si>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</si>
  <si>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</si>
  <si>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</si>
  <si>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</si>
  <si>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</si>
  <si>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</si>
  <si>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</si>
  <si>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</si>
  <si>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</si>
  <si>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</si>
  <si>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</si>
  <si>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</si>
  <si>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</si>
  <si>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</si>
  <si>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</si>
  <si>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</si>
  <si>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</si>
  <si>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</si>
  <si>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</si>
  <si>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</si>
  <si>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</si>
  <si>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</si>
  <si>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</si>
  <si>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</si>
  <si>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</si>
  <si>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</si>
  <si>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</si>
  <si>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</si>
  <si>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</si>
  <si>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</si>
  <si>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</si>
  <si>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</si>
  <si>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</si>
  <si>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</si>
  <si>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</si>
  <si>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</si>
  <si>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</si>
  <si>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</si>
  <si>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</si>
  <si>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</si>
  <si>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</si>
  <si>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</si>
  <si>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</si>
  <si>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</si>
  <si>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</si>
  <si>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</si>
  <si>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</si>
  <si>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</si>
  <si>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</si>
  <si>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</si>
  <si>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</si>
  <si>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</si>
  <si>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</si>
  <si>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</si>
  <si>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</si>
  <si>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</si>
  <si>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</si>
  <si>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</si>
  <si>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</si>
  <si>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</si>
  <si>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</si>
  <si>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</si>
  <si>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</si>
  <si>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</si>
  <si>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</si>
  <si>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</si>
  <si>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</si>
  <si>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</si>
  <si>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</si>
  <si>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</si>
  <si>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</si>
  <si>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</si>
  <si>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</si>
  <si>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</si>
  <si>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</si>
  <si>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</si>
  <si>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</si>
  <si>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</si>
  <si>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</si>
  <si>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</si>
  <si>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</si>
  <si>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</si>
  <si>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</si>
  <si>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</si>
  <si>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</si>
  <si>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</si>
  <si>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</si>
  <si>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</si>
  <si>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</si>
  <si>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</si>
  <si>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</si>
  <si>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</si>
  <si>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</si>
  <si>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</si>
  <si>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</si>
  <si>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</si>
  <si>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</si>
  <si>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</si>
  <si>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</si>
  <si>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</si>
  <si>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</si>
  <si>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</si>
  <si>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</si>
  <si>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</si>
  <si>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</si>
  <si>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</si>
  <si>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</si>
  <si>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</si>
  <si>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</si>
  <si>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</si>
  <si>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</si>
  <si>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</si>
  <si>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</si>
  <si>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</si>
  <si>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</si>
  <si>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</si>
  <si>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</si>
  <si>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</si>
  <si>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</si>
  <si>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</si>
  <si>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</si>
  <si>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</si>
  <si>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</si>
  <si>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</si>
  <si>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</si>
  <si>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</si>
  <si>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</si>
  <si>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</si>
  <si>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</si>
  <si>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</si>
  <si>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</si>
  <si>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</si>
  <si>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</si>
  <si>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</si>
  <si>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</si>
  <si>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</si>
  <si>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</si>
  <si>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</si>
  <si>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</si>
  <si>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</si>
  <si>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</si>
  <si>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</si>
  <si>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</si>
  <si>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</si>
  <si>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</si>
  <si>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</si>
  <si>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</si>
  <si>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</si>
  <si>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</si>
  <si>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</si>
  <si>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</si>
  <si>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</si>
  <si>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</si>
  <si>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</si>
  <si>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</si>
  <si>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</si>
  <si>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</si>
  <si>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</si>
  <si>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</si>
  <si>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</si>
  <si>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</si>
  <si>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</si>
  <si>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</si>
  <si>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</si>
  <si>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</si>
  <si>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</si>
  <si>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</si>
  <si>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</si>
  <si>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</si>
  <si>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</si>
  <si>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</si>
  <si>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</si>
  <si>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</si>
  <si>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</si>
  <si>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</si>
  <si>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</si>
  <si>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</si>
  <si>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</si>
  <si>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</si>
  <si>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</si>
  <si>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</si>
  <si>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</si>
  <si>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</si>
  <si>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</si>
  <si>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</si>
  <si>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</si>
  <si>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</si>
  <si>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</si>
  <si>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</si>
  <si>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</si>
  <si>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</si>
  <si>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</si>
  <si>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</si>
  <si>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</si>
  <si>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</si>
  <si>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</si>
  <si>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</si>
  <si>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</si>
  <si>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</si>
  <si>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</si>
  <si>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</si>
  <si>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</si>
  <si>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</si>
  <si>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</si>
  <si>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</si>
  <si>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</si>
  <si>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</si>
  <si>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</si>
  <si>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</si>
  <si>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</si>
  <si>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</si>
  <si>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</si>
  <si>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</si>
  <si>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</si>
  <si>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</si>
  <si>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</si>
  <si>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</si>
  <si>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</si>
  <si>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</si>
  <si>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</si>
  <si>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</si>
  <si>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</si>
  <si>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</si>
  <si>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</si>
  <si>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</si>
  <si>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</si>
  <si>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</si>
  <si>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</si>
  <si>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</si>
  <si>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</si>
  <si>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</si>
  <si>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</si>
  <si>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</si>
  <si>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</si>
  <si>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</si>
  <si>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</si>
  <si>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</si>
  <si>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</si>
  <si>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</si>
  <si>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</si>
  <si>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</si>
  <si>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</si>
  <si>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</si>
  <si>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</si>
  <si>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</si>
  <si>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</si>
  <si>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</si>
  <si>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</si>
  <si>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</si>
  <si>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</si>
  <si>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</si>
  <si>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</si>
  <si>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</si>
  <si>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</si>
  <si>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</si>
  <si>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</si>
  <si>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</si>
  <si>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</si>
  <si>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</si>
  <si>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</si>
  <si>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</si>
  <si>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</si>
  <si>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</si>
  <si>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</si>
  <si>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</si>
  <si>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</si>
  <si>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</si>
  <si>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</si>
  <si>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</si>
  <si>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</si>
  <si>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</si>
  <si>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</si>
  <si>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</si>
  <si>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</si>
  <si>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</si>
  <si>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</si>
  <si>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</si>
  <si>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</si>
  <si>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</si>
  <si>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</si>
  <si>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</si>
  <si>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</si>
  <si>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</si>
  <si>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</si>
  <si>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</si>
  <si>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</si>
  <si>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</si>
  <si>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</si>
  <si>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</si>
  <si>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</si>
  <si>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</si>
  <si>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</si>
  <si>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</si>
  <si>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</si>
  <si>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</si>
  <si>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</si>
  <si>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</si>
  <si>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</si>
  <si>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</si>
  <si>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</si>
  <si>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</si>
  <si>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</si>
  <si>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</si>
  <si>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</si>
  <si>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</si>
  <si>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</si>
  <si>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</si>
  <si>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</si>
  <si>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</si>
  <si>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</si>
  <si>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</si>
  <si>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</si>
  <si>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</si>
  <si>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</si>
  <si>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</si>
  <si>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</si>
  <si>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</si>
  <si>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</si>
  <si>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</si>
  <si>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</si>
  <si>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</si>
  <si>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</si>
  <si>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</si>
  <si>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</si>
  <si>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</si>
  <si>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</si>
  <si>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</si>
  <si>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</si>
  <si>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</si>
  <si>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</si>
  <si>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</si>
  <si>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</si>
  <si>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</si>
  <si>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</si>
  <si>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</si>
  <si>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</si>
  <si>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</si>
  <si>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</si>
  <si>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</si>
  <si>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</si>
  <si>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</si>
  <si>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</si>
  <si>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</si>
  <si>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</si>
  <si>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</si>
  <si>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</si>
  <si>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</si>
  <si>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</si>
  <si>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</si>
  <si>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</si>
  <si>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</si>
  <si>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</si>
  <si>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</si>
  <si>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</si>
  <si>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</si>
  <si>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</si>
  <si>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</si>
  <si>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</si>
  <si>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</si>
  <si>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</si>
  <si>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</si>
  <si>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</si>
  <si>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</si>
  <si>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</si>
  <si>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</si>
  <si>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</si>
  <si>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</si>
  <si>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</si>
  <si>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</si>
  <si>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</si>
  <si>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</si>
  <si>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</si>
  <si>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</si>
  <si>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</si>
  <si>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</si>
  <si>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</si>
  <si>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</si>
  <si>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</si>
  <si>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</si>
  <si>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</si>
  <si>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</si>
  <si>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</si>
  <si>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</si>
  <si>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</si>
  <si>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</si>
  <si>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</si>
  <si>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</si>
  <si>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</si>
  <si>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</si>
  <si>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</si>
  <si>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</si>
  <si>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</si>
  <si>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</si>
  <si>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</si>
  <si>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</si>
  <si>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</si>
  <si>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</si>
  <si>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</si>
  <si>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</si>
  <si>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</si>
  <si>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</si>
  <si>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</si>
  <si>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</si>
  <si>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</si>
  <si>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</si>
  <si>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</si>
  <si>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</si>
  <si>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</si>
  <si>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</si>
  <si>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</si>
  <si>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</si>
  <si>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</si>
  <si>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</si>
  <si>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</si>
  <si>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</si>
  <si>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</si>
  <si>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</si>
  <si>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</si>
  <si>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</si>
  <si>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</si>
  <si>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</si>
  <si>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</si>
  <si>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</si>
  <si>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</si>
  <si>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</si>
  <si>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</si>
  <si>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</si>
  <si>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</si>
  <si>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</si>
  <si>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</si>
  <si>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</si>
  <si>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</si>
  <si>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</si>
  <si>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</si>
  <si>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</si>
  <si>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</si>
  <si>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</si>
  <si>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</si>
  <si>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</si>
  <si>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</si>
  <si>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</si>
  <si>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</si>
  <si>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</si>
  <si>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</si>
  <si>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</si>
  <si>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</si>
  <si>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</si>
  <si>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</si>
  <si>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</si>
  <si>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</si>
  <si>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</si>
  <si>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</si>
  <si>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</si>
  <si>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</si>
  <si>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</si>
  <si>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</si>
  <si>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</si>
  <si>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</si>
  <si>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</si>
  <si>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</si>
  <si>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</si>
  <si>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</si>
  <si>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</si>
  <si>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</si>
  <si>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</si>
  <si>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</si>
  <si>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</si>
  <si>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</si>
  <si>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</si>
  <si>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</si>
  <si>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</si>
  <si>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</si>
  <si>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</si>
  <si>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</si>
  <si>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</si>
  <si>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</si>
  <si>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</si>
  <si>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</si>
  <si>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</si>
  <si>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</si>
  <si>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</si>
  <si>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</si>
  <si>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</si>
  <si>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</si>
  <si>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</si>
  <si>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</si>
  <si>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</si>
  <si>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</si>
  <si>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</si>
  <si>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</si>
  <si>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</si>
  <si>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</si>
  <si>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</si>
  <si>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</si>
  <si>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</si>
  <si>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</si>
  <si>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</si>
  <si>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</si>
  <si>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</si>
  <si>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</si>
  <si>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</si>
  <si>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</si>
  <si>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</si>
  <si>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</si>
  <si>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</si>
  <si>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</si>
  <si>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</si>
  <si>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</si>
  <si>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</si>
  <si>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</si>
  <si>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</si>
  <si>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</si>
  <si>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</si>
  <si>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</si>
  <si>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</si>
  <si>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</si>
  <si>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</si>
  <si>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</si>
  <si>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</si>
  <si>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</si>
  <si>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</si>
  <si>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</si>
  <si>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</si>
  <si>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</si>
  <si>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</si>
  <si>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</si>
  <si>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</si>
  <si>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</si>
  <si>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</si>
  <si>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</si>
  <si>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</si>
  <si>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</si>
  <si>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</si>
  <si>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</si>
  <si>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</si>
  <si>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</si>
  <si>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</si>
  <si>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</si>
  <si>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</si>
  <si>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</si>
  <si>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</si>
  <si>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</si>
  <si>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</si>
  <si>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</si>
  <si>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</si>
  <si>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</si>
  <si>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</si>
  <si>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</si>
  <si>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</si>
  <si>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</si>
  <si>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</si>
  <si>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</si>
  <si>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</si>
  <si>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</si>
  <si>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</si>
  <si>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</si>
  <si>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</si>
  <si>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</si>
  <si>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</si>
  <si>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</si>
  <si>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</si>
  <si>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</si>
  <si>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</si>
  <si>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</si>
  <si>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</si>
  <si>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</si>
  <si>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</si>
  <si>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</si>
  <si>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</si>
  <si>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</si>
  <si>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</si>
  <si>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</si>
  <si>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</si>
  <si>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</si>
  <si>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</si>
  <si>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</si>
  <si>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</si>
  <si>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</si>
  <si>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</si>
  <si>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</si>
  <si>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</si>
  <si>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</si>
  <si>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</si>
  <si>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</si>
  <si>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</si>
  <si>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</si>
  <si>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</si>
  <si>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</si>
  <si>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</si>
  <si>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</si>
  <si>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</si>
  <si>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</si>
  <si>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</si>
  <si>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</si>
  <si>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</si>
  <si>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</si>
  <si>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</si>
  <si>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</si>
  <si>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</si>
  <si>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</si>
  <si>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</si>
  <si>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</si>
  <si>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</si>
  <si>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</si>
  <si>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</si>
  <si>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</si>
  <si>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</si>
  <si>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</si>
  <si>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</si>
  <si>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</si>
  <si>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</si>
  <si>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</si>
  <si>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</si>
  <si>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</si>
  <si>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</si>
  <si>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</si>
  <si>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</si>
  <si>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</si>
  <si>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</si>
  <si>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</si>
  <si>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</si>
  <si>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</si>
  <si>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</si>
  <si>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</si>
  <si>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</si>
  <si>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</si>
  <si>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</si>
  <si>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</si>
  <si>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</si>
  <si>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</si>
  <si>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</si>
  <si>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</si>
  <si>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</si>
  <si>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</si>
  <si>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</si>
  <si>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</si>
  <si>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</si>
  <si>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</si>
  <si>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</si>
  <si>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</si>
  <si>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</si>
  <si>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</si>
  <si>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</si>
  <si>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</si>
  <si>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</si>
  <si>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</si>
  <si>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</si>
  <si>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</si>
  <si>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</si>
  <si>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</si>
  <si>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</si>
  <si>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</si>
  <si>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</si>
  <si>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</si>
  <si>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</si>
  <si>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</si>
  <si>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</si>
  <si>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</si>
  <si>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</si>
  <si>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</si>
  <si>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</si>
  <si>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</si>
  <si>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</si>
  <si>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</si>
  <si>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</si>
  <si>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</si>
  <si>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</si>
  <si>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</si>
  <si>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</si>
  <si>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</si>
  <si>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</si>
  <si>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</si>
  <si>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</si>
  <si>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</si>
  <si>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</si>
  <si>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</si>
  <si>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</si>
  <si>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</si>
  <si>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</si>
  <si>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</si>
  <si>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</si>
  <si>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</si>
  <si>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</si>
  <si>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</si>
  <si>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</si>
  <si>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</si>
  <si>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</si>
  <si>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</si>
  <si>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</si>
  <si>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</si>
  <si>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</si>
  <si>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</si>
  <si>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</si>
  <si>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</si>
  <si>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</si>
  <si>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</si>
  <si>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</si>
  <si>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</si>
  <si>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</si>
  <si>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</si>
  <si>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</si>
  <si>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</si>
  <si>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</si>
  <si>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</si>
  <si>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</si>
  <si>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</si>
  <si>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</si>
  <si>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</si>
  <si>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</si>
  <si>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</si>
  <si>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</si>
  <si>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</si>
  <si>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</si>
  <si>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</si>
  <si>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</si>
  <si>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</si>
  <si>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</si>
  <si>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</si>
  <si>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</si>
  <si>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</si>
  <si>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</si>
  <si>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</si>
  <si>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</si>
  <si>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</si>
  <si>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</si>
  <si>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</si>
  <si>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</si>
  <si>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</si>
  <si>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</si>
  <si>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</si>
  <si>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</si>
  <si>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</si>
  <si>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</si>
  <si>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</si>
  <si>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</si>
  <si>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</si>
  <si>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</si>
  <si>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</si>
  <si>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</si>
  <si>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</si>
  <si>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</si>
  <si>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</si>
  <si>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</si>
  <si>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</si>
  <si>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</si>
  <si>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</si>
  <si>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</si>
  <si>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</si>
  <si>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</si>
  <si>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</si>
  <si>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</si>
  <si>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</si>
  <si>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</si>
  <si>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</si>
  <si>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</si>
  <si>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</si>
  <si>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</si>
  <si>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</si>
  <si>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</si>
  <si>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</si>
  <si>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</si>
  <si>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</si>
  <si>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</si>
  <si>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</si>
  <si>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</si>
  <si>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</si>
  <si>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</si>
  <si>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</si>
  <si>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</si>
  <si>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</si>
  <si>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</si>
  <si>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</si>
  <si>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</si>
  <si>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</si>
  <si>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</si>
  <si>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</si>
  <si>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</si>
  <si>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</si>
  <si>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</si>
  <si>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</si>
  <si>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</si>
  <si>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</si>
  <si>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</si>
  <si>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</si>
  <si>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</si>
  <si>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</si>
  <si>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</si>
  <si>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</si>
  <si>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</si>
  <si>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</si>
  <si>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</si>
  <si>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</si>
  <si>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</si>
  <si>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</si>
  <si>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</si>
  <si>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</si>
  <si>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</si>
  <si>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</si>
  <si>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</si>
  <si>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</si>
  <si>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</si>
  <si>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</si>
  <si>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</si>
  <si>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</si>
  <si>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</si>
  <si>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</si>
  <si>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</si>
  <si>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</si>
  <si>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</si>
  <si>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</si>
  <si>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</si>
  <si>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</si>
  <si>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</si>
  <si>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</si>
  <si>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</si>
  <si>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</si>
  <si>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</si>
  <si>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</si>
  <si>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</si>
  <si>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</si>
  <si>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</si>
  <si>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</si>
  <si>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</si>
  <si>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</si>
  <si>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</si>
  <si>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</si>
  <si>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</si>
  <si>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</si>
  <si>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</si>
  <si>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</si>
  <si>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</si>
  <si>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</si>
  <si>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</si>
  <si>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</si>
  <si>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</si>
  <si>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</si>
  <si>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</si>
  <si>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</si>
  <si>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</si>
  <si>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</si>
  <si>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</si>
  <si>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</si>
  <si>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</si>
  <si>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</si>
  <si>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</si>
  <si>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</si>
  <si>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</si>
  <si>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</si>
  <si>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</si>
  <si>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</si>
  <si>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</si>
  <si>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</si>
  <si>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</si>
  <si>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</si>
  <si>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</si>
  <si>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</si>
  <si>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</si>
  <si>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</si>
  <si>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</si>
  <si>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</si>
  <si>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</si>
  <si>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</si>
  <si>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</si>
  <si>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</si>
  <si>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</si>
  <si>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</si>
  <si>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</si>
  <si>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</si>
  <si>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</si>
  <si>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</si>
  <si>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</si>
  <si>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</si>
  <si>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</si>
  <si>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</si>
  <si>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</si>
  <si>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</si>
  <si>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</si>
  <si>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</si>
  <si>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</si>
  <si>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</si>
  <si>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</si>
  <si>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</si>
  <si>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</si>
  <si>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</si>
  <si>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</si>
  <si>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</si>
  <si>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</si>
  <si>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</si>
  <si>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</si>
  <si>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</si>
  <si>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</si>
  <si>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</si>
  <si>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</si>
  <si>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</si>
  <si>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</si>
  <si>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</si>
  <si>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</si>
  <si>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</si>
  <si>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</si>
  <si>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</si>
  <si>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</si>
  <si>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</si>
  <si>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</si>
  <si>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</si>
  <si>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</si>
  <si>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</si>
  <si>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</si>
  <si>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</si>
  <si>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</si>
  <si>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</si>
  <si>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</si>
  <si>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</si>
  <si>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</si>
  <si>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</si>
  <si>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</si>
  <si>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</si>
  <si>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</si>
  <si>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</si>
  <si>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</si>
  <si>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</si>
  <si>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</si>
  <si>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</si>
  <si>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</si>
  <si>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</si>
  <si>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</si>
  <si>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</si>
  <si>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</si>
  <si>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</si>
  <si>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</si>
  <si>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</si>
  <si>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</si>
  <si>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</si>
  <si>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</si>
  <si>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</si>
  <si>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</si>
  <si>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</si>
  <si>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</si>
  <si>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</si>
  <si>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</si>
  <si>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</si>
  <si>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</si>
  <si>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</si>
  <si>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</si>
  <si>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</si>
  <si>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</si>
  <si>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</si>
  <si>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</si>
  <si>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</si>
  <si>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</si>
  <si>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</si>
  <si>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</si>
  <si>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</si>
  <si>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</si>
  <si>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</si>
  <si>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</si>
  <si>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</si>
  <si>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</si>
  <si>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</si>
  <si>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</si>
  <si>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</si>
  <si>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</si>
  <si>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</si>
  <si>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</si>
  <si>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</si>
  <si>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</si>
  <si>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</si>
  <si>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</si>
  <si>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</si>
  <si>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</si>
  <si>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</si>
  <si>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</si>
  <si>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</si>
  <si>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</si>
  <si>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</si>
  <si>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</si>
  <si>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</si>
  <si>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</si>
  <si>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</si>
  <si>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</si>
  <si>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</si>
  <si>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</si>
  <si>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</si>
  <si>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</si>
  <si>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</si>
  <si>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</si>
  <si>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</si>
  <si>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</si>
  <si>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</si>
  <si>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</si>
  <si>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</si>
  <si>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</si>
  <si>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</si>
  <si>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</si>
  <si>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</si>
  <si>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</si>
  <si>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</si>
  <si>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</si>
  <si>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</si>
  <si>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</si>
  <si>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</si>
  <si>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</si>
  <si>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</si>
  <si>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</si>
  <si>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</si>
  <si>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</si>
  <si>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</si>
  <si>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</si>
  <si>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</si>
  <si>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</si>
  <si>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</si>
  <si>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</si>
  <si>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</si>
  <si>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</si>
  <si>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</si>
  <si>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</si>
  <si>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</si>
  <si>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</si>
  <si>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</si>
  <si>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</si>
  <si>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</si>
  <si>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</si>
  <si>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</si>
  <si>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</si>
  <si>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</si>
  <si>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</si>
  <si>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</si>
  <si>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</si>
  <si>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</si>
  <si>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</si>
  <si>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</si>
  <si>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</si>
  <si>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</si>
  <si>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</si>
  <si>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</si>
  <si>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</si>
  <si>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</si>
  <si>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</si>
  <si>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</si>
  <si>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</si>
  <si>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</si>
  <si>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</si>
  <si>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</si>
  <si>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</si>
  <si>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</si>
  <si>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</si>
  <si>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</si>
  <si>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</si>
  <si>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</si>
  <si>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</si>
  <si>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</si>
  <si>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</si>
  <si>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</si>
  <si>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</si>
  <si>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</si>
  <si>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</si>
  <si>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</si>
  <si>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</si>
  <si>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</si>
  <si>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</si>
  <si>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</si>
  <si>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</si>
  <si>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</si>
  <si>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</si>
  <si>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</si>
  <si>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</si>
  <si>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</si>
  <si>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</si>
  <si>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</si>
  <si>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</si>
  <si>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</si>
  <si>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</si>
  <si>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</si>
  <si>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</si>
  <si>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</si>
  <si>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</si>
  <si>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</si>
  <si>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</si>
  <si>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</si>
  <si>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</si>
  <si>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</si>
  <si>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</si>
  <si>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</si>
  <si>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</si>
  <si>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</si>
  <si>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</si>
  <si>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</si>
  <si>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</si>
  <si>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</si>
  <si>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</si>
  <si>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</si>
  <si>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</si>
  <si>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</si>
  <si>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</si>
  <si>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</si>
  <si>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</si>
  <si>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</si>
  <si>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</si>
  <si>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</si>
  <si>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</si>
  <si>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</si>
  <si>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</si>
  <si>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</si>
  <si>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</si>
  <si>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</si>
  <si>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</si>
  <si>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</si>
  <si>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</si>
  <si>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</si>
  <si>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</si>
  <si>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</si>
  <si>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</si>
  <si>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</si>
  <si>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</si>
  <si>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</si>
  <si>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</si>
  <si>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</si>
  <si>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</si>
  <si>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</si>
  <si>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</si>
  <si>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</si>
  <si>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</si>
  <si>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</si>
  <si>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</si>
  <si>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</si>
  <si>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</si>
  <si>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</si>
  <si>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</si>
  <si>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</si>
  <si>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</si>
  <si>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</si>
  <si>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</si>
  <si>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</si>
  <si>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</si>
  <si>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</si>
  <si>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</si>
  <si>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</si>
  <si>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</si>
  <si>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</si>
  <si>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</si>
  <si>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</si>
  <si>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</si>
  <si>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</si>
  <si>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</si>
  <si>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</si>
  <si>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</si>
  <si>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</si>
  <si>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</si>
  <si>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</si>
  <si>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</si>
  <si>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</si>
  <si>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</si>
  <si>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</si>
  <si>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</si>
  <si>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</si>
  <si>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</si>
  <si>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</si>
  <si>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</si>
  <si>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</si>
  <si>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</si>
  <si>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</si>
  <si>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</si>
  <si>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</si>
  <si>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</si>
  <si>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</si>
  <si>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</si>
  <si>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</si>
  <si>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</si>
  <si>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</si>
  <si>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</si>
  <si>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</si>
  <si>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</si>
  <si>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</si>
  <si>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</si>
  <si>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</si>
  <si>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</si>
  <si>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</si>
  <si>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</si>
  <si>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</si>
  <si>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</si>
  <si>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</si>
  <si>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</si>
  <si>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</si>
  <si>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</si>
  <si>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</si>
  <si>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</si>
  <si>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</si>
  <si>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</si>
  <si>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</si>
  <si>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</si>
  <si>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</si>
  <si>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</si>
  <si>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</si>
  <si>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</si>
  <si>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</si>
  <si>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</si>
  <si>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</si>
  <si>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</si>
  <si>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</si>
  <si>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</si>
  <si>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</si>
  <si>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</si>
  <si>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</si>
  <si>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</si>
  <si>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</si>
  <si>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</si>
  <si>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</si>
  <si>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</si>
  <si>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</si>
  <si>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</si>
  <si>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</si>
  <si>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</si>
  <si>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</si>
  <si>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</si>
  <si>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</si>
  <si>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</si>
  <si>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</si>
  <si>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</si>
  <si>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</si>
  <si>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</si>
  <si>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</si>
  <si>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</si>
  <si>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</si>
  <si>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</si>
  <si>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</si>
  <si>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</si>
  <si>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</si>
  <si>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</si>
  <si>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</si>
  <si>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</si>
  <si>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</si>
  <si>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</si>
  <si>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</si>
  <si>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</si>
  <si>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</si>
  <si>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</si>
  <si>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</si>
  <si>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</si>
  <si>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</si>
  <si>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</si>
  <si>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</si>
  <si>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</si>
  <si>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</si>
  <si>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</si>
  <si>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</si>
  <si>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</si>
  <si>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</si>
  <si>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</si>
  <si>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</si>
  <si>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</si>
  <si>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</si>
  <si>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</si>
  <si>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</si>
  <si>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</si>
  <si>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</si>
  <si>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</si>
  <si>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</si>
  <si>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</si>
  <si>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</si>
  <si>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</si>
  <si>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</si>
  <si>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</si>
  <si>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</si>
  <si>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</si>
  <si>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</si>
  <si>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</si>
  <si>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</si>
  <si>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</si>
  <si>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</si>
  <si>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</si>
  <si>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</si>
  <si>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</si>
  <si>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</si>
  <si>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</si>
  <si>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</si>
  <si>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</si>
  <si>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</si>
  <si>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</si>
  <si>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</si>
  <si>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</si>
  <si>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</si>
  <si>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</si>
  <si>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</si>
  <si>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</si>
  <si>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</si>
  <si>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</si>
  <si>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</si>
  <si>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</si>
  <si>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</si>
  <si>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</si>
  <si>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</si>
  <si>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</si>
  <si>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</si>
  <si>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</si>
  <si>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</si>
  <si>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</si>
  <si>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</si>
  <si>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</si>
  <si>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</si>
  <si>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</si>
  <si>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</si>
  <si>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</si>
  <si>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</si>
  <si>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</si>
  <si>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</si>
  <si>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</si>
  <si>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</si>
  <si>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</si>
  <si>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</si>
  <si>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</si>
  <si>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</si>
  <si>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</si>
  <si>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</si>
  <si>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</si>
  <si>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</si>
  <si>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</si>
  <si>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</si>
  <si>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</si>
  <si>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</si>
  <si>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</si>
  <si>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</si>
  <si>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</si>
  <si>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</si>
  <si>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</si>
  <si>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</si>
  <si>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</si>
  <si>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</si>
  <si>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</si>
  <si>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</si>
  <si>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</si>
  <si>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</si>
  <si>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</si>
  <si>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</si>
  <si>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</si>
  <si>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</si>
  <si>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</si>
  <si>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</si>
  <si>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</si>
  <si>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</si>
  <si>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</si>
  <si>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</si>
  <si>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</si>
  <si>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</si>
  <si>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</si>
  <si>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</si>
  <si>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</si>
  <si>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</si>
  <si>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</si>
  <si>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</si>
  <si>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</si>
  <si>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</si>
  <si>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</si>
  <si>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</si>
  <si>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</si>
  <si>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</si>
  <si>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</si>
  <si>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</si>
  <si>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</si>
  <si>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</si>
  <si>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</si>
  <si>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</si>
  <si>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</si>
  <si>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</si>
  <si>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</si>
  <si>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</si>
  <si>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</si>
  <si>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</si>
  <si>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</si>
  <si>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</si>
  <si>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</si>
  <si>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</si>
  <si>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</si>
  <si>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</si>
  <si>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</si>
  <si>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</si>
  <si>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</si>
  <si>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</si>
  <si>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</si>
  <si>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</si>
  <si>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</si>
  <si>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</si>
  <si>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</si>
  <si>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</si>
  <si>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</si>
  <si>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</si>
  <si>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</si>
  <si>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</si>
  <si>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</si>
  <si>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</si>
  <si>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</si>
  <si>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</si>
  <si>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</si>
  <si>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</si>
  <si>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</si>
  <si>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</si>
  <si>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</si>
  <si>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</si>
  <si>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</si>
  <si>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</si>
  <si>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</si>
  <si>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</si>
  <si>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</si>
  <si>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</si>
  <si>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</si>
  <si>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</si>
  <si>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</si>
  <si>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</si>
  <si>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</si>
  <si>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</si>
  <si>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</si>
  <si>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</si>
  <si>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</si>
  <si>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</si>
  <si>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</si>
  <si>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</si>
  <si>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</si>
  <si>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</si>
  <si>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</si>
  <si>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</si>
  <si>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</si>
  <si>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</si>
  <si>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</si>
  <si>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</si>
  <si>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</si>
  <si>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</si>
  <si>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</si>
  <si>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</si>
  <si>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</si>
  <si>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</si>
  <si>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</si>
  <si>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</si>
  <si>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</si>
  <si>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</si>
  <si>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</si>
  <si>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</si>
  <si>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</si>
  <si>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</si>
  <si>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</si>
  <si>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</si>
  <si>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</si>
  <si>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</si>
  <si>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</si>
  <si>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</si>
  <si>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</si>
  <si>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</si>
  <si>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</si>
  <si>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</si>
  <si>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</si>
  <si>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</si>
  <si>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</si>
  <si>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</si>
  <si>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</si>
  <si>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</si>
  <si>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</si>
  <si>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</si>
  <si>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</si>
  <si>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</si>
  <si>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</si>
  <si>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</si>
  <si>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</si>
  <si>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</si>
  <si>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</si>
  <si>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</si>
  <si>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</si>
  <si>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</si>
  <si>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</si>
  <si>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</si>
  <si>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</si>
  <si>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</si>
  <si>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</si>
  <si>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</si>
  <si>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</si>
  <si>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</si>
  <si>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</si>
  <si>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</si>
  <si>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</si>
  <si>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</si>
  <si>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</si>
  <si>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</si>
  <si>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</si>
  <si>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</si>
  <si>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</si>
  <si>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</si>
  <si>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</si>
  <si>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</si>
  <si>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</si>
  <si>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</si>
  <si>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</si>
  <si>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</si>
  <si>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</si>
  <si>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</si>
  <si>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</si>
  <si>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</si>
  <si>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</si>
  <si>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</si>
  <si>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</si>
  <si>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</si>
  <si>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</si>
  <si>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</si>
  <si>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</si>
  <si>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</si>
  <si>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</si>
  <si>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</si>
  <si>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</si>
  <si>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</si>
  <si>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</si>
  <si>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</si>
  <si>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</si>
  <si>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</si>
  <si>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</si>
  <si>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</si>
  <si>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</si>
  <si>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</si>
  <si>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</si>
  <si>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</si>
  <si>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</si>
  <si>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</si>
  <si>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</si>
  <si>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</si>
  <si>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</si>
  <si>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</si>
  <si>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</si>
  <si>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</si>
  <si>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</si>
  <si>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</si>
  <si>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</si>
  <si>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</si>
  <si>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</si>
  <si>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</si>
  <si>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</si>
  <si>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</si>
  <si>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</si>
  <si>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</si>
  <si>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</si>
  <si>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</si>
  <si>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</si>
  <si>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</si>
  <si>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</si>
  <si>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</si>
  <si>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</si>
  <si>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</si>
  <si>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</si>
  <si>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</si>
  <si>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</si>
  <si>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</si>
  <si>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</si>
  <si>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</si>
  <si>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</si>
  <si>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</si>
  <si>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</si>
  <si>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</si>
  <si>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</si>
  <si>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</si>
  <si>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</si>
  <si>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</si>
  <si>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</si>
  <si>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</si>
  <si>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</si>
  <si>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</si>
  <si>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</si>
  <si>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</si>
  <si>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</si>
  <si>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</si>
  <si>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</si>
  <si>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</si>
  <si>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</si>
  <si>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</si>
  <si>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</si>
  <si>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</si>
  <si>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</si>
  <si>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</si>
  <si>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</si>
  <si>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</si>
  <si>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</si>
  <si>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</si>
  <si>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</si>
  <si>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</si>
  <si>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</si>
  <si>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</si>
  <si>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</si>
  <si>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</si>
  <si>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</si>
  <si>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</si>
  <si>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</si>
  <si>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</si>
  <si>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</si>
  <si>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</si>
  <si>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</si>
  <si>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</si>
  <si>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</si>
  <si>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</si>
  <si>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</si>
  <si>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</si>
  <si>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</si>
  <si>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</si>
  <si>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</si>
  <si>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</si>
  <si>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</si>
  <si>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</si>
  <si>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</si>
  <si>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</si>
  <si>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</si>
  <si>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</si>
  <si>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</si>
  <si>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</si>
  <si>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</si>
  <si>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</si>
  <si>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</si>
  <si>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</si>
  <si>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</si>
  <si>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</si>
  <si>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</si>
  <si>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</si>
  <si>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</si>
  <si>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</si>
  <si>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</si>
  <si>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</si>
  <si>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</si>
  <si>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</si>
  <si>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</si>
  <si>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</si>
  <si>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</si>
  <si>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</si>
  <si>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</si>
  <si>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</si>
  <si>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</si>
  <si>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</si>
  <si>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</si>
  <si>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</si>
  <si>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</si>
  <si>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</si>
  <si>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</si>
  <si>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</si>
  <si>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</si>
  <si>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</si>
  <si>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</si>
  <si>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</si>
  <si>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</si>
  <si>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</si>
  <si>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</si>
  <si>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</si>
  <si>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</si>
  <si>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</si>
  <si>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</si>
  <si>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</si>
  <si>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</si>
  <si>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</si>
  <si>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</si>
  <si>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</si>
  <si>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</si>
  <si>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</si>
  <si>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</si>
  <si>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</si>
  <si>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</si>
  <si>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</si>
  <si>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</si>
  <si>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</si>
  <si>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</si>
  <si>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</si>
  <si>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</si>
  <si>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</si>
  <si>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</si>
  <si>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</si>
  <si>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</si>
  <si>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</si>
  <si>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</si>
  <si>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</si>
  <si>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</si>
  <si>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</si>
  <si>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</si>
  <si>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</si>
  <si>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</si>
  <si>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</si>
  <si>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</si>
  <si>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</si>
  <si>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</si>
  <si>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</si>
  <si>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</si>
  <si>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</si>
  <si>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</si>
  <si>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</si>
  <si>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</si>
  <si>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</si>
  <si>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</si>
  <si>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</si>
  <si>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</si>
  <si>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</si>
  <si>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</si>
  <si>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</si>
  <si>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</si>
  <si>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</si>
  <si>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</si>
  <si>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</si>
  <si>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</si>
  <si>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</si>
  <si>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</si>
  <si>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</si>
  <si>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</si>
  <si>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</si>
  <si>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</si>
  <si>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</si>
  <si>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</si>
  <si>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</si>
  <si>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</si>
  <si>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</si>
  <si>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</si>
  <si>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</si>
  <si>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</si>
  <si>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</si>
  <si>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</si>
  <si>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</si>
  <si>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</si>
  <si>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</si>
  <si>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</si>
  <si>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</si>
  <si>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</si>
  <si>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</si>
  <si>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</si>
  <si>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</si>
  <si>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</si>
  <si>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</si>
  <si>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</si>
  <si>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</si>
  <si>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</si>
  <si>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</si>
  <si>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</si>
  <si>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</si>
  <si>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</si>
  <si>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</si>
  <si>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</si>
  <si>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</si>
  <si>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</si>
  <si>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</si>
  <si>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</si>
  <si>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</si>
  <si>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</si>
  <si>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</si>
  <si>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</si>
  <si>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</si>
  <si>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</si>
  <si>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</si>
  <si>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</si>
  <si>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</si>
  <si>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</si>
  <si>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</si>
  <si>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</si>
  <si>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</si>
  <si>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</si>
  <si>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</si>
  <si>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</si>
  <si>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</si>
  <si>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</si>
  <si>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</si>
  <si>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</si>
  <si>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</si>
  <si>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</si>
  <si>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</si>
  <si>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</si>
  <si>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</si>
  <si>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</si>
  <si>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</si>
  <si>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</si>
  <si>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</si>
  <si>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</si>
  <si>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</si>
  <si>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</si>
  <si>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</si>
  <si>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</si>
  <si>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</si>
  <si>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</si>
  <si>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</si>
  <si>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</si>
  <si>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</si>
  <si>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</si>
  <si>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</si>
  <si>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</si>
  <si>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</si>
  <si>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</si>
  <si>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</si>
  <si>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</si>
  <si>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</si>
  <si>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</si>
  <si>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</si>
  <si>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</si>
  <si>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</si>
  <si>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</si>
  <si>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</si>
  <si>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</si>
  <si>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</si>
  <si>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</si>
  <si>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</si>
  <si>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</si>
  <si>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</si>
  <si>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</si>
  <si>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</si>
  <si>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</si>
  <si>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</si>
  <si>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</si>
  <si>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</si>
  <si>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</si>
  <si>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</si>
  <si>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</si>
  <si>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</si>
  <si>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</si>
  <si>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</si>
  <si>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</si>
  <si>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</si>
  <si>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</si>
  <si>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</si>
  <si>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</si>
  <si>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</si>
  <si>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</si>
  <si>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</si>
  <si>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</si>
  <si>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</si>
  <si>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</si>
  <si>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</si>
  <si>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</si>
  <si>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</si>
  <si>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</si>
  <si>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</si>
  <si>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</si>
  <si>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</si>
  <si>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</si>
  <si>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</si>
  <si>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</si>
  <si>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</si>
  <si>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</si>
  <si>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</si>
  <si>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</si>
  <si>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</si>
  <si>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</si>
  <si>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</si>
  <si>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</si>
  <si>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</si>
  <si>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</si>
  <si>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</si>
  <si>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</si>
  <si>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</si>
  <si>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</si>
  <si>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</si>
  <si>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</si>
  <si>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</si>
  <si>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</si>
  <si>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</si>
  <si>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</si>
  <si>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</si>
  <si>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</si>
  <si>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</si>
  <si>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</si>
  <si>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</si>
  <si>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</si>
  <si>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</si>
  <si>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</si>
  <si>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</si>
  <si>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</si>
  <si>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</si>
  <si>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</si>
  <si>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</si>
  <si>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</si>
  <si>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</si>
  <si>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</si>
  <si>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</si>
  <si>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</si>
  <si>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</si>
  <si>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</si>
  <si>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</si>
  <si>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</si>
  <si>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</si>
  <si>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</si>
  <si>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</si>
  <si>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</si>
  <si>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</si>
  <si>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</si>
  <si>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</si>
  <si>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</si>
  <si>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</si>
  <si>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</si>
  <si>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</si>
  <si>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</si>
  <si>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</si>
  <si>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</si>
  <si>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</si>
  <si>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</si>
  <si>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</si>
  <si>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</si>
  <si>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</si>
  <si>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</si>
  <si>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</si>
  <si>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</si>
  <si>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</si>
  <si>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</si>
  <si>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</si>
  <si>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</si>
  <si>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</si>
  <si>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</si>
  <si>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</si>
  <si>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</si>
  <si>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</si>
  <si>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</si>
  <si>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</si>
  <si>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</si>
  <si>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</si>
  <si>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</si>
  <si>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</si>
  <si>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</si>
  <si>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</si>
  <si>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</si>
  <si>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</si>
  <si>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</si>
  <si>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</si>
  <si>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</si>
  <si>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</si>
  <si>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</si>
  <si>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</si>
  <si>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</si>
  <si>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</si>
  <si>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</si>
  <si>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</si>
  <si>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</si>
  <si>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</si>
  <si>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</si>
  <si>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</si>
  <si>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</si>
  <si>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</si>
  <si>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</si>
  <si>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</si>
  <si>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</si>
  <si>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</si>
  <si>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</si>
  <si>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</si>
  <si>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</si>
  <si>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</si>
  <si>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</si>
  <si>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</si>
  <si>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</si>
  <si>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</si>
  <si>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</si>
  <si>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</si>
  <si>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</si>
  <si>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</si>
  <si>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</si>
  <si>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</si>
  <si>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</si>
  <si>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</si>
  <si>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</si>
  <si>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</si>
  <si>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</si>
  <si>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</si>
  <si>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</si>
  <si>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</si>
  <si>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</si>
  <si>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</si>
  <si>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</si>
  <si>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</si>
  <si>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</si>
  <si>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</si>
  <si>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</si>
  <si>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</si>
  <si>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</si>
  <si>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</si>
  <si>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</si>
  <si>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</si>
  <si>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</si>
  <si>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</si>
  <si>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</si>
  <si>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</si>
  <si>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</si>
  <si>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</si>
  <si>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</si>
  <si>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</si>
  <si>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</si>
  <si>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</si>
  <si>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</si>
  <si>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</si>
  <si>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</si>
  <si>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</si>
  <si>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</si>
  <si>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</si>
  <si>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</si>
  <si>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</si>
  <si>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</si>
  <si>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</si>
  <si>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</si>
  <si>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</si>
  <si>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</si>
  <si>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</si>
  <si>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</si>
  <si>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</si>
  <si>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</si>
  <si>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</si>
  <si>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</si>
  <si>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</si>
  <si>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</si>
  <si>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</si>
  <si>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</si>
  <si>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</si>
  <si>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</si>
  <si>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</si>
  <si>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</si>
  <si>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</si>
  <si>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</si>
  <si>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</si>
  <si>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</si>
  <si>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</si>
  <si>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</si>
  <si>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</si>
  <si>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</si>
  <si>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</si>
  <si>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</si>
  <si>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</si>
  <si>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</si>
  <si>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</si>
  <si>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</si>
  <si>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</si>
  <si>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</si>
  <si>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</si>
  <si>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</si>
  <si>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</si>
  <si>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</si>
  <si>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</si>
  <si>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</si>
  <si>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</si>
  <si>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</si>
  <si>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</si>
  <si>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</si>
  <si>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</si>
  <si>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</si>
  <si>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</si>
  <si>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</si>
  <si>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</si>
  <si>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</si>
  <si>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</si>
  <si>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</si>
  <si>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</si>
  <si>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</si>
  <si>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</si>
  <si>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</si>
  <si>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</si>
  <si>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</si>
  <si>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</si>
  <si>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</si>
  <si>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</si>
  <si>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</si>
  <si>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</si>
  <si>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</si>
  <si>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</si>
  <si>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</si>
  <si>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</si>
  <si>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</si>
  <si>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</si>
  <si>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</si>
  <si>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</si>
  <si>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</si>
  <si>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</si>
  <si>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</si>
  <si>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</si>
  <si>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</si>
  <si>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</si>
  <si>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</si>
  <si>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</si>
  <si>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</si>
  <si>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</si>
  <si>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</si>
  <si>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</si>
  <si>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</si>
  <si>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</si>
  <si>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</si>
  <si>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</si>
  <si>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</si>
  <si>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</si>
  <si>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</si>
  <si>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</si>
  <si>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</si>
  <si>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</si>
  <si>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</si>
  <si>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</si>
  <si>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</si>
  <si>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</si>
  <si>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</si>
  <si>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</si>
  <si>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</si>
  <si>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</si>
  <si>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</si>
  <si>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</si>
  <si>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</si>
  <si>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</si>
  <si>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</si>
  <si>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</si>
  <si>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</si>
  <si>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</si>
  <si>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</si>
  <si>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</si>
  <si>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</si>
  <si>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</si>
  <si>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</si>
  <si>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</si>
  <si>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</si>
  <si>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</si>
  <si>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</si>
  <si>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</si>
  <si>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</si>
  <si>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</si>
  <si>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</si>
  <si>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</si>
  <si>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</si>
  <si>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</si>
  <si>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</si>
  <si>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</si>
  <si>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</si>
  <si>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</si>
  <si>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</si>
  <si>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</si>
  <si>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</si>
  <si>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</si>
  <si>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</si>
  <si>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</si>
  <si>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</si>
  <si>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</si>
  <si>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</si>
  <si>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</si>
  <si>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</si>
  <si>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</si>
  <si>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</si>
  <si>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</si>
  <si>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</si>
  <si>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</si>
  <si>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</si>
  <si>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</si>
  <si>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</si>
  <si>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</si>
  <si>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</si>
  <si>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</si>
  <si>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</si>
  <si>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</si>
  <si>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</si>
  <si>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</si>
  <si>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</si>
  <si>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</si>
  <si>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</si>
  <si>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</si>
  <si>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</si>
  <si>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</si>
  <si>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</si>
  <si>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</si>
  <si>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</si>
  <si>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</si>
  <si>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</si>
  <si>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</si>
  <si>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</si>
  <si>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</si>
  <si>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</si>
  <si>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</si>
  <si>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</si>
  <si>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</si>
  <si>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</si>
  <si>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</si>
  <si>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</si>
  <si>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</si>
  <si>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</si>
  <si>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</si>
  <si>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</si>
  <si>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</si>
  <si>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</si>
  <si>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</si>
  <si>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</si>
  <si>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</si>
  <si>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</si>
  <si>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</si>
  <si>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</si>
  <si>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</si>
  <si>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</si>
  <si>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</si>
  <si>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</si>
  <si>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</si>
  <si>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</si>
  <si>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</si>
  <si>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</si>
  <si>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</si>
  <si>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</si>
  <si>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</si>
  <si>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</si>
  <si>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</si>
  <si>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</si>
  <si>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</si>
  <si>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</si>
  <si>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</si>
  <si>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</si>
  <si>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</si>
  <si>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</si>
  <si>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</si>
  <si>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</si>
  <si>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</si>
  <si>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</si>
  <si>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</si>
  <si>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</si>
  <si>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</si>
  <si>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</si>
  <si>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</si>
  <si>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</si>
  <si>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</si>
  <si>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</si>
  <si>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</si>
  <si>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</si>
  <si>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</si>
  <si>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</si>
  <si>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</si>
  <si>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</si>
  <si>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</si>
  <si>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</si>
  <si>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</si>
  <si>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</si>
  <si>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</si>
  <si>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</si>
  <si>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</si>
  <si>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</si>
  <si>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</si>
  <si>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</si>
  <si>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</si>
  <si>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</si>
  <si>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</si>
  <si>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</si>
  <si>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</si>
  <si>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</si>
  <si>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</si>
  <si>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</si>
  <si>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</si>
  <si>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</si>
  <si>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</si>
  <si>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</si>
  <si>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</si>
  <si>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</si>
  <si>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</si>
  <si>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</si>
  <si>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</si>
  <si>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</si>
  <si>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</si>
  <si>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</si>
  <si>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</si>
  <si>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</si>
  <si>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</si>
  <si>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</si>
  <si>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</si>
  <si>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</si>
  <si>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</si>
  <si>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</si>
  <si>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</si>
  <si>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</si>
  <si>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</si>
  <si>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</si>
  <si>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</si>
  <si>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</si>
  <si>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</si>
  <si>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</si>
  <si>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</si>
  <si>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</si>
  <si>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</si>
  <si>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</si>
  <si>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</si>
  <si>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</si>
  <si>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</si>
  <si>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</si>
  <si>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</si>
  <si>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</si>
  <si>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</si>
  <si>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</si>
  <si>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</si>
  <si>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</si>
  <si>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</si>
  <si>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</si>
  <si>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</si>
  <si>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</si>
  <si>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</si>
  <si>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</si>
  <si>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</si>
  <si>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</si>
  <si>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</si>
  <si>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</si>
  <si>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</si>
  <si>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</si>
  <si>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</si>
  <si>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</si>
  <si>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</si>
  <si>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</si>
  <si>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</si>
  <si>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</si>
  <si>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</si>
  <si>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</si>
  <si>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</si>
  <si>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</si>
  <si>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</si>
  <si>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</si>
  <si>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</si>
  <si>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</si>
  <si>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</si>
  <si>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</si>
  <si>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</si>
  <si>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</si>
  <si>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</si>
  <si>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</si>
  <si>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</si>
  <si>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</si>
  <si>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</si>
  <si>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</si>
  <si>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</si>
  <si>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</si>
  <si>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</si>
  <si>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</si>
  <si>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</si>
  <si>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</si>
  <si>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</si>
  <si>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</si>
  <si>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</si>
  <si>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</si>
  <si>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</si>
  <si>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</si>
  <si>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</si>
  <si>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</si>
  <si>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</si>
  <si>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</si>
  <si>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</si>
  <si>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</si>
  <si>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</si>
  <si>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</si>
  <si>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</si>
  <si>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</si>
  <si>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</si>
  <si>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</si>
  <si>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</si>
  <si>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</si>
  <si>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</si>
  <si>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</si>
  <si>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</si>
  <si>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</si>
  <si>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</si>
  <si>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</si>
  <si>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</si>
  <si>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</si>
  <si>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</si>
  <si>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</si>
  <si>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</si>
  <si>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</si>
  <si>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</si>
  <si>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</si>
  <si>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</si>
  <si>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</si>
  <si>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</si>
  <si>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</si>
  <si>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</si>
  <si>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</si>
  <si>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</si>
  <si>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</si>
  <si>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</si>
  <si>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</si>
  <si>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</si>
  <si>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</si>
  <si>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</si>
  <si>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</si>
  <si>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</si>
  <si>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</si>
  <si>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</si>
  <si>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</si>
  <si>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</si>
  <si>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</si>
  <si>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</si>
  <si>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</si>
  <si>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</si>
  <si>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</si>
  <si>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</si>
  <si>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</si>
  <si>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</si>
  <si>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</si>
  <si>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</si>
  <si>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</si>
  <si>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</si>
  <si>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</si>
  <si>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</si>
  <si>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</si>
  <si>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</si>
  <si>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</si>
  <si>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</si>
  <si>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</si>
  <si>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</si>
  <si>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</si>
  <si>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</si>
  <si>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</si>
  <si>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</si>
  <si>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</si>
  <si>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</si>
  <si>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</si>
  <si>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</si>
  <si>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</si>
  <si>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</si>
  <si>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</si>
  <si>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</si>
  <si>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</si>
  <si>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</si>
  <si>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</si>
  <si>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</si>
  <si>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</si>
  <si>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</si>
  <si>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</si>
  <si>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</si>
  <si>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</si>
  <si>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</si>
  <si>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</si>
  <si>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</si>
  <si>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</si>
  <si>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</si>
  <si>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</si>
  <si>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</si>
  <si>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</si>
  <si>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</si>
  <si>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</si>
  <si>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</si>
  <si>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</si>
  <si>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</si>
  <si>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</si>
  <si>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</si>
  <si>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</si>
  <si>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</si>
  <si>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</si>
  <si>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</si>
  <si>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</si>
  <si>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</si>
  <si>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</si>
  <si>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</si>
  <si>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</si>
  <si>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</si>
  <si>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</si>
  <si>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</si>
  <si>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</si>
  <si>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</si>
  <si>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</si>
  <si>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</si>
  <si>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</si>
  <si>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</si>
  <si>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</si>
  <si>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</si>
  <si>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</si>
  <si>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</si>
  <si>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</si>
  <si>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</si>
  <si>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</si>
  <si>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</si>
  <si>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</si>
  <si>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</si>
  <si>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</si>
  <si>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</si>
  <si>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</si>
  <si>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</si>
  <si>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</si>
  <si>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</si>
  <si>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</si>
  <si>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</si>
  <si>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</si>
  <si>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</si>
  <si>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</si>
  <si>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</si>
  <si>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</si>
  <si>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</si>
  <si>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</si>
  <si>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</si>
  <si>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</si>
  <si>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</si>
  <si>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</si>
  <si>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</si>
  <si>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</si>
  <si>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</si>
  <si>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</si>
  <si>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</si>
  <si>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</si>
  <si>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</si>
  <si>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</si>
  <si>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</si>
  <si>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</si>
  <si>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</si>
  <si>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</si>
  <si>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</si>
  <si>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</si>
  <si>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</si>
  <si>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</si>
  <si>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</si>
  <si>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</si>
  <si>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</si>
  <si>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</si>
  <si>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</si>
  <si>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</si>
  <si>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</si>
  <si>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</si>
  <si>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</si>
  <si>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</si>
  <si>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</si>
  <si>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</si>
  <si>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</si>
  <si>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</si>
  <si>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</si>
  <si>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</si>
  <si>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</si>
  <si>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</si>
  <si>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</si>
  <si>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</si>
  <si>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</si>
  <si>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</si>
  <si>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</si>
  <si>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</si>
  <si>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</si>
  <si>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</si>
  <si>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</si>
  <si>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</si>
  <si>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</si>
  <si>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</si>
  <si>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</si>
  <si>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</si>
  <si>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</si>
  <si>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</si>
  <si>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</si>
  <si>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</si>
  <si>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</si>
  <si>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</si>
  <si>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</si>
  <si>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</si>
  <si>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</si>
  <si>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</si>
  <si>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</si>
  <si>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</si>
  <si>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</si>
  <si>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</si>
  <si>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</si>
  <si>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</si>
  <si>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</si>
  <si>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</si>
  <si>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</si>
  <si>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</si>
  <si>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</si>
  <si>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</si>
  <si>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</si>
  <si>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</si>
  <si>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</si>
  <si>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</si>
  <si>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</si>
  <si>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</si>
  <si>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</si>
  <si>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</si>
  <si>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</si>
  <si>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</si>
  <si>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</si>
  <si>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</si>
  <si>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</si>
  <si>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</si>
  <si>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</si>
  <si>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</si>
  <si>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</si>
  <si>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</si>
  <si>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</si>
  <si>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</si>
  <si>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</si>
  <si>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</si>
  <si>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</si>
  <si>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</si>
  <si>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</si>
  <si>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</si>
  <si>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</si>
  <si>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</si>
  <si>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</si>
  <si>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</si>
  <si>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</si>
  <si>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</si>
  <si>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</si>
  <si>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</si>
  <si>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</si>
  <si>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</si>
  <si>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</si>
  <si>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</si>
  <si>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</si>
  <si>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</si>
  <si>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</si>
  <si>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</si>
  <si>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</si>
  <si>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</si>
  <si>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</si>
  <si>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</si>
  <si>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</si>
  <si>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</si>
  <si>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</si>
  <si>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</si>
  <si>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</si>
  <si>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</si>
  <si>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</si>
  <si>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</si>
  <si>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</si>
  <si>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</si>
  <si>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</si>
  <si>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</si>
  <si>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</si>
  <si>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</si>
  <si>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</si>
  <si>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</si>
  <si>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</si>
  <si>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</si>
  <si>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</si>
  <si>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</si>
  <si>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</si>
  <si>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</si>
  <si>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</si>
  <si>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</si>
  <si>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</si>
  <si>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</si>
  <si>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</si>
  <si>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</si>
  <si>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</si>
  <si>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</si>
  <si>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</si>
  <si>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</si>
  <si>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</si>
  <si>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</si>
  <si>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</si>
  <si>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</si>
  <si>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</si>
  <si>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</si>
  <si>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</si>
  <si>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</si>
  <si>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</si>
  <si>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</si>
  <si>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</si>
  <si>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</si>
  <si>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</si>
  <si>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</si>
  <si>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</si>
  <si>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</si>
  <si>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</si>
  <si>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</si>
  <si>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</si>
  <si>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</si>
  <si>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</si>
  <si>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</si>
  <si>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</si>
  <si>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</si>
  <si>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</si>
  <si>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</si>
  <si>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</si>
  <si>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</si>
  <si>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</si>
  <si>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</si>
  <si>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</si>
  <si>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</si>
  <si>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</si>
  <si>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</si>
  <si>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</si>
  <si>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</si>
  <si>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</si>
  <si>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</si>
  <si>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</si>
  <si>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</si>
  <si>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</si>
  <si>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</si>
  <si>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</si>
  <si>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</si>
  <si>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</si>
  <si>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</si>
  <si>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</si>
  <si>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</si>
  <si>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</si>
  <si>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</si>
  <si>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</si>
  <si>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</si>
  <si>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</si>
  <si>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</si>
  <si>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</si>
  <si>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</si>
  <si>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</si>
  <si>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</si>
  <si>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</si>
  <si>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</si>
  <si>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</si>
  <si>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</si>
  <si>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</si>
  <si>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</si>
  <si>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</si>
  <si>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</si>
  <si>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</si>
  <si>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</si>
  <si>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</si>
  <si>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</si>
  <si>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</si>
  <si>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</si>
  <si>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</si>
  <si>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</si>
  <si>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</si>
  <si>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</si>
  <si>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</si>
  <si>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</si>
  <si>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</si>
  <si>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</si>
  <si>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</si>
  <si>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</si>
  <si>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</si>
  <si>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</si>
  <si>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</si>
  <si>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</si>
  <si>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</si>
  <si>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</si>
  <si>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</si>
  <si>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</si>
  <si>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</si>
  <si>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</si>
  <si>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</si>
  <si>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</si>
  <si>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</si>
  <si>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</si>
  <si>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</si>
  <si>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</si>
  <si>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</si>
  <si>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</si>
  <si>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</si>
  <si>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</si>
  <si>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</si>
  <si>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</si>
  <si>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</si>
  <si>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</si>
  <si>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</si>
  <si>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</si>
  <si>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</si>
  <si>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</si>
  <si>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</si>
  <si>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</si>
  <si>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</si>
  <si>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</si>
  <si>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</si>
  <si>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</si>
  <si>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</si>
  <si>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</si>
  <si>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</si>
  <si>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</si>
  <si>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</si>
  <si>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</si>
  <si>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</si>
  <si>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</si>
  <si>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</si>
  <si>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</si>
  <si>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</si>
  <si>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</si>
  <si>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</si>
  <si>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</si>
  <si>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</si>
  <si>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</si>
  <si>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</si>
  <si>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</si>
  <si>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</si>
  <si>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</si>
  <si>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</si>
  <si>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</si>
  <si>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</si>
  <si>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</si>
  <si>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</si>
  <si>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</si>
  <si>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</si>
  <si>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</si>
  <si>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</si>
  <si>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</si>
  <si>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</si>
  <si>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</si>
  <si>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</si>
  <si>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</si>
  <si>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</si>
  <si>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</si>
  <si>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</si>
  <si>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</si>
  <si>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</si>
  <si>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</si>
  <si>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</si>
  <si>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</si>
  <si>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</si>
  <si>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</si>
  <si>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</si>
  <si>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</si>
  <si>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</si>
  <si>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</si>
  <si>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</si>
  <si>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</si>
  <si>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</si>
  <si>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</si>
  <si>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</si>
  <si>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</si>
  <si>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</si>
  <si>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</si>
  <si>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</si>
  <si>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</si>
  <si>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</si>
  <si>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</si>
  <si>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</si>
  <si>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</si>
  <si>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</si>
  <si>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</si>
  <si>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</si>
  <si>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</si>
  <si>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</si>
  <si>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</si>
  <si>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</si>
  <si>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</si>
  <si>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</si>
  <si>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</si>
  <si>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</si>
  <si>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</si>
  <si>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</si>
  <si>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</si>
  <si>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</si>
  <si>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</si>
  <si>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</si>
  <si>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</si>
  <si>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</si>
  <si>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</si>
  <si>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</si>
  <si>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</si>
  <si>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</si>
  <si>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</si>
  <si>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</si>
  <si>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</si>
  <si>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</si>
  <si>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</si>
  <si>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</si>
  <si>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</si>
  <si>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</si>
  <si>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</si>
  <si>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</si>
  <si>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</si>
  <si>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</si>
  <si>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</si>
  <si>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</si>
  <si>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</si>
  <si>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</si>
  <si>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</si>
  <si>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</si>
  <si>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</si>
  <si>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</si>
  <si>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</si>
  <si>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</si>
  <si>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</si>
  <si>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</si>
  <si>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</si>
  <si>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</si>
  <si>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</si>
  <si>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</si>
  <si>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</si>
  <si>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</si>
  <si>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</si>
  <si>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</si>
  <si>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</si>
  <si>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</si>
  <si>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</si>
  <si>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</si>
  <si>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</si>
  <si>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</si>
  <si>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</si>
  <si>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</si>
  <si>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</si>
  <si>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</si>
  <si>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</si>
  <si>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</si>
  <si>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</si>
  <si>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</si>
  <si>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</si>
  <si>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</si>
  <si>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</si>
  <si>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</si>
  <si>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</si>
  <si>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</si>
  <si>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</si>
  <si>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</si>
  <si>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</si>
  <si>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</si>
  <si>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</si>
  <si>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</si>
  <si>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</si>
  <si>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</si>
  <si>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</si>
  <si>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</si>
  <si>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</si>
  <si>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</si>
  <si>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</si>
  <si>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</si>
  <si>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</si>
  <si>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</si>
  <si>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</si>
  <si>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</si>
  <si>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</si>
  <si>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</si>
  <si>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</si>
  <si>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</si>
  <si>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</si>
  <si>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</si>
  <si>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</si>
  <si>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</si>
  <si>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</si>
  <si>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</si>
  <si>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</si>
  <si>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</si>
  <si>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</si>
  <si>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</si>
  <si>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</si>
  <si>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</si>
  <si>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</si>
  <si>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</si>
  <si>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</si>
  <si>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</si>
  <si>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</si>
  <si>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</si>
  <si>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</si>
  <si>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</si>
  <si>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</si>
  <si>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</si>
  <si>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</si>
  <si>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</si>
  <si>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</si>
  <si>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</si>
  <si>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</si>
  <si>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</si>
  <si>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</si>
  <si>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</si>
  <si>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</si>
  <si>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</si>
  <si>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</si>
  <si>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</si>
  <si>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</si>
  <si>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</si>
  <si>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</si>
  <si>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</si>
  <si>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</si>
  <si>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</si>
  <si>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</si>
  <si>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</si>
  <si>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</si>
  <si>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</si>
  <si>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</si>
  <si>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</si>
  <si>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</si>
  <si>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</si>
  <si>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</si>
  <si>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</si>
  <si>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</si>
  <si>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</si>
  <si>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</si>
  <si>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</si>
  <si>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</si>
  <si>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</si>
  <si>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</si>
  <si>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</si>
  <si>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</si>
  <si>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</si>
  <si>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</si>
  <si>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</si>
  <si>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</si>
  <si>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</si>
  <si>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</si>
  <si>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</si>
  <si>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</si>
  <si>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</si>
  <si>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</si>
  <si>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</si>
  <si>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</si>
  <si>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</si>
  <si>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</si>
  <si>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</si>
  <si>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</si>
  <si>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</si>
  <si>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</si>
  <si>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</si>
  <si>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</si>
  <si>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</si>
  <si>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</si>
  <si>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</si>
  <si>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</si>
  <si>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</si>
  <si>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</si>
  <si>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</si>
  <si>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</si>
  <si>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</si>
  <si>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</si>
  <si>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</si>
  <si>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</si>
  <si>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</si>
  <si>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</si>
  <si>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</si>
  <si>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</si>
  <si>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</si>
  <si>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</si>
  <si>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</si>
  <si>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</si>
  <si>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</si>
  <si>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</si>
  <si>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</si>
  <si>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</si>
  <si>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</si>
  <si>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</si>
  <si>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</si>
  <si>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</si>
  <si>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</si>
  <si>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</si>
  <si>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</si>
  <si>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</si>
  <si>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</si>
  <si>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</si>
  <si>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</si>
  <si>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</si>
  <si>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</si>
  <si>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</si>
  <si>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</si>
  <si>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</si>
  <si>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</si>
  <si>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</si>
  <si>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</si>
  <si>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</si>
  <si>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</si>
  <si>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</si>
  <si>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</si>
  <si>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</si>
  <si>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</si>
  <si>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</si>
  <si>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</si>
  <si>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</si>
  <si>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</si>
  <si>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</si>
  <si>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</si>
  <si>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</si>
  <si>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</si>
  <si>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</si>
  <si>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</si>
  <si>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</si>
  <si>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</si>
  <si>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</si>
  <si>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</si>
  <si>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</si>
  <si>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</si>
  <si>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</si>
  <si>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</si>
  <si>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</si>
  <si>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</si>
  <si>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</si>
  <si>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</si>
  <si>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</si>
  <si>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</si>
  <si>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</si>
  <si>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</si>
  <si>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</si>
  <si>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</si>
  <si>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</si>
  <si>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</si>
  <si>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</si>
  <si>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</si>
  <si>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</si>
  <si>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</si>
  <si>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</si>
  <si>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</si>
  <si>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</si>
  <si>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</si>
  <si>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</si>
  <si>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</si>
  <si>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</si>
  <si>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</si>
  <si>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</si>
  <si>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</si>
  <si>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</si>
  <si>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</si>
  <si>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</si>
  <si>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</si>
  <si>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</si>
  <si>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</si>
  <si>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</si>
  <si>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</si>
  <si>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</si>
  <si>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</si>
  <si>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</si>
  <si>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</si>
  <si>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</si>
  <si>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</si>
  <si>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</si>
  <si>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</si>
  <si>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</si>
  <si>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</si>
  <si>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</si>
  <si>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</si>
  <si>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</si>
  <si>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</si>
  <si>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</si>
  <si>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</si>
  <si>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</si>
  <si>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</si>
  <si>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</si>
  <si>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</si>
  <si>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</si>
  <si>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</si>
  <si>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</si>
  <si>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</si>
  <si>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</si>
  <si>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</si>
  <si>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</si>
  <si>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</si>
  <si>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</si>
  <si>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</si>
  <si>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</si>
  <si>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</si>
  <si>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</si>
  <si>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</si>
  <si>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</si>
  <si>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</si>
  <si>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</si>
  <si>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</si>
  <si>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</si>
  <si>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</si>
  <si>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</si>
  <si>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</si>
  <si>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</si>
  <si>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</si>
  <si>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</si>
  <si>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</si>
  <si>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</si>
  <si>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</si>
  <si>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</si>
  <si>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</si>
  <si>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</si>
  <si>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</si>
  <si>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</si>
  <si>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</si>
  <si>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</si>
  <si>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</si>
  <si>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</si>
  <si>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</si>
  <si>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</si>
  <si>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</si>
  <si>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</si>
  <si>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</si>
  <si>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</si>
  <si>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</si>
  <si>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</si>
  <si>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</si>
  <si>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</si>
  <si>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</si>
  <si>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</si>
  <si>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</si>
  <si>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</si>
  <si>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</si>
  <si>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</si>
  <si>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</si>
  <si>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</si>
  <si>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</si>
  <si>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</si>
  <si>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</si>
  <si>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</si>
  <si>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</si>
  <si>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</si>
  <si>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</si>
  <si>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</si>
  <si>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</si>
  <si>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</si>
  <si>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</si>
  <si>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</si>
  <si>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</si>
  <si>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</si>
  <si>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</si>
  <si>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</si>
  <si>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</si>
  <si>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</si>
  <si>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</si>
  <si>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</si>
  <si>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</si>
  <si>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</si>
  <si>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</si>
  <si>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</si>
  <si>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</si>
  <si>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</si>
  <si>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</si>
  <si>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</si>
  <si>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</si>
  <si>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</si>
  <si>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</si>
  <si>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</si>
  <si>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</si>
  <si>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</si>
  <si>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</si>
  <si>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</si>
  <si>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</si>
  <si>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</si>
  <si>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</si>
  <si>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</si>
  <si>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</si>
  <si>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</si>
  <si>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</si>
  <si>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</si>
  <si>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</si>
  <si>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</si>
  <si>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</si>
  <si>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</si>
  <si>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</si>
  <si>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</si>
  <si>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</si>
  <si>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</si>
  <si>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</si>
  <si>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</si>
  <si>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</si>
  <si>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</si>
  <si>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</si>
  <si>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</si>
  <si>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</si>
  <si>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</si>
  <si>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</si>
  <si>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</si>
  <si>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</si>
  <si>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</si>
  <si>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</si>
  <si>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</si>
  <si>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</si>
  <si>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</si>
  <si>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</si>
  <si>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</si>
  <si>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</si>
  <si>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</si>
  <si>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</si>
  <si>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</si>
  <si>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</si>
  <si>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</si>
  <si>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</si>
  <si>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</si>
  <si>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</si>
  <si>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</si>
  <si>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</si>
  <si>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</si>
  <si>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</si>
  <si>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</si>
  <si>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</si>
  <si>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</si>
  <si>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</si>
  <si>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</si>
  <si>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</si>
  <si>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</si>
  <si>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</si>
  <si>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</si>
  <si>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</si>
  <si>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</si>
  <si>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</si>
  <si>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</si>
  <si>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</si>
  <si>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</si>
  <si>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</si>
  <si>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</si>
  <si>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</si>
  <si>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</si>
  <si>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</si>
  <si>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</si>
  <si>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</si>
  <si>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</si>
  <si>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</si>
  <si>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</si>
  <si>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</si>
  <si>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</si>
  <si>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</si>
  <si>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</si>
  <si>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</si>
  <si>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</si>
  <si>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</si>
  <si>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</si>
  <si>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</si>
  <si>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</si>
  <si>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</si>
  <si>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</si>
  <si>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</si>
  <si>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</si>
  <si>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</si>
  <si>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</si>
  <si>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</si>
  <si>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</si>
  <si>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</si>
  <si>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</si>
  <si>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</si>
  <si>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</si>
  <si>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</si>
  <si>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</si>
  <si>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</si>
  <si>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</si>
  <si>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</si>
  <si>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</si>
  <si>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</si>
  <si>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</si>
  <si>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</si>
  <si>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</si>
  <si>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</si>
  <si>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</si>
  <si>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</si>
  <si>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</si>
  <si>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</si>
  <si>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</si>
  <si>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</si>
  <si>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</si>
  <si>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</si>
  <si>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</si>
  <si>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</si>
  <si>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</si>
  <si>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</si>
  <si>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</si>
  <si>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</si>
  <si>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</si>
  <si>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</si>
  <si>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</si>
  <si>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</si>
  <si>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</si>
  <si>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</si>
  <si>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</si>
  <si>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</si>
  <si>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</si>
  <si>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</si>
  <si>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</si>
  <si>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</si>
  <si>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</si>
  <si>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</si>
  <si>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</si>
  <si>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</si>
  <si>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</si>
  <si>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</si>
  <si>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</si>
  <si>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</si>
  <si>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</si>
  <si>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</si>
  <si>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</si>
  <si>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</si>
  <si>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</si>
  <si>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</si>
  <si>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</si>
  <si>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</si>
  <si>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</si>
  <si>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</si>
  <si>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</si>
  <si>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</si>
  <si>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</si>
  <si>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</si>
  <si>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</si>
  <si>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</si>
  <si>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</si>
  <si>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</si>
  <si>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</si>
  <si>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</si>
  <si>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</si>
  <si>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</si>
  <si>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</si>
  <si>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</si>
  <si>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</si>
  <si>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</si>
  <si>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</si>
  <si>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</si>
  <si>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</si>
  <si>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</si>
  <si>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</si>
  <si>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</si>
  <si>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</si>
  <si>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</si>
  <si>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</si>
  <si>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</si>
  <si>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</si>
  <si>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</si>
  <si>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</si>
  <si>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</si>
  <si>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</si>
  <si>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</si>
  <si>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</si>
  <si>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</si>
  <si>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</si>
  <si>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</si>
  <si>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</si>
  <si>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</si>
  <si>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</si>
  <si>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</si>
  <si>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</si>
  <si>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</si>
  <si>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</si>
  <si>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</si>
  <si>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</si>
  <si>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</si>
  <si>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</si>
  <si>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</si>
  <si>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</si>
  <si>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</si>
  <si>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</si>
  <si>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</si>
  <si>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</si>
  <si>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</si>
  <si>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</si>
  <si>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</si>
  <si>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</si>
  <si>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</si>
  <si>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</si>
  <si>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</si>
  <si>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</si>
  <si>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</si>
  <si>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</si>
  <si>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</si>
  <si>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</si>
  <si>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</si>
  <si>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</si>
  <si>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</si>
  <si>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</si>
  <si>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</si>
  <si>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</si>
  <si>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</si>
  <si>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</si>
  <si>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</si>
  <si>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</si>
  <si>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</si>
  <si>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</si>
  <si>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</si>
  <si>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</si>
  <si>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</si>
  <si>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</si>
  <si>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</si>
  <si>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</si>
  <si>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</si>
  <si>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</si>
  <si>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</si>
  <si>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</si>
  <si>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</si>
  <si>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</si>
  <si>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</si>
  <si>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</si>
  <si>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</si>
  <si>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</si>
  <si>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</si>
  <si>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</si>
  <si>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</si>
  <si>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</si>
  <si>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</si>
  <si>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</si>
  <si>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</si>
  <si>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</si>
  <si>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</si>
  <si>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</si>
  <si>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</si>
  <si>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</si>
  <si>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</si>
  <si>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</si>
  <si>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</si>
  <si>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</si>
  <si>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</si>
  <si>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</si>
  <si>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</si>
  <si>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</si>
  <si>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</si>
  <si>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</si>
  <si>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</si>
  <si>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</si>
  <si>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</si>
  <si>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</si>
  <si>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</si>
  <si>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</si>
  <si>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</si>
  <si>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</si>
  <si>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</si>
  <si>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</si>
  <si>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</si>
  <si>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</si>
  <si>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</si>
  <si>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</si>
  <si>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</si>
  <si>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</si>
  <si>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</si>
  <si>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</si>
  <si>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</si>
  <si>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</si>
  <si>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</si>
  <si>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</si>
  <si>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</si>
  <si>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</si>
  <si>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</si>
  <si>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</si>
  <si>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</si>
  <si>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</si>
  <si>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</si>
  <si>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</si>
  <si>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</si>
  <si>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</si>
  <si>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</si>
  <si>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</si>
  <si>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</si>
  <si>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</si>
  <si>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</si>
  <si>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</si>
  <si>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</si>
  <si>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</si>
  <si>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</si>
  <si>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</si>
  <si>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</si>
  <si>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</si>
  <si>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</si>
  <si>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</si>
  <si>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</si>
  <si>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</si>
  <si>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</si>
  <si>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</si>
  <si>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</si>
  <si>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</si>
  <si>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</si>
  <si>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</si>
  <si>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</si>
  <si>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</si>
  <si>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</si>
  <si>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</si>
  <si>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</si>
  <si>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</si>
  <si>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</si>
  <si>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</si>
  <si>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</si>
  <si>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</si>
  <si>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</si>
  <si>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</si>
  <si>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</si>
  <si>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</si>
  <si>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</si>
  <si>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</si>
  <si>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</si>
  <si>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</si>
  <si>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</si>
  <si>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</si>
  <si>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</si>
  <si>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</si>
  <si>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</si>
  <si>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</si>
  <si>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</si>
  <si>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</si>
  <si>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</si>
  <si>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</si>
  <si>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</si>
  <si>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</si>
  <si>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</si>
  <si>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</si>
  <si>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</si>
  <si>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</si>
  <si>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</si>
  <si>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</si>
  <si>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</si>
  <si>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</si>
  <si>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</si>
  <si>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</si>
  <si>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</si>
  <si>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</si>
  <si>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</si>
  <si>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</si>
  <si>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</si>
  <si>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</si>
  <si>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</si>
  <si>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</si>
  <si>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</si>
  <si>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</si>
  <si>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</si>
  <si>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</si>
  <si>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</si>
  <si>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</si>
  <si>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</si>
  <si>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</si>
  <si>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</si>
  <si>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</si>
  <si>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</si>
  <si>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</si>
  <si>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</si>
  <si>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</si>
  <si>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</si>
  <si>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</si>
  <si>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</si>
  <si>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</si>
  <si>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</si>
  <si>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</si>
  <si>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</si>
  <si>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</si>
  <si>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</si>
  <si>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</si>
  <si>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</si>
  <si>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</si>
  <si>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</si>
  <si>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</si>
  <si>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</si>
  <si>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</si>
  <si>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</si>
  <si>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</si>
  <si>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</si>
  <si>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</si>
  <si>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</si>
  <si>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</si>
  <si>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</si>
  <si>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</si>
  <si>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</si>
  <si>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</si>
  <si>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</si>
  <si>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</si>
  <si>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</si>
  <si>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</si>
  <si>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</si>
  <si>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</si>
  <si>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</si>
  <si>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</si>
  <si>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</si>
  <si>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</si>
  <si>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</si>
  <si>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</si>
  <si>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</si>
  <si>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</si>
  <si>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</si>
  <si>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</si>
  <si>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</si>
  <si>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</si>
  <si>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</si>
  <si>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</si>
  <si>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</si>
  <si>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</si>
  <si>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</si>
  <si>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</si>
  <si>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</si>
  <si>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</si>
  <si>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</si>
  <si>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</si>
  <si>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</si>
  <si>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</si>
  <si>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</si>
  <si>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</si>
  <si>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</si>
  <si>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</si>
  <si>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</si>
  <si>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</si>
  <si>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</si>
  <si>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</si>
  <si>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</si>
  <si>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</si>
  <si>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</si>
  <si>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</si>
  <si>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</si>
  <si>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</si>
  <si>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</si>
  <si>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</si>
  <si>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</si>
  <si>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</si>
  <si>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</si>
  <si>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</si>
  <si>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</si>
  <si>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</si>
  <si>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</si>
  <si>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</si>
  <si>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</si>
  <si>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</si>
  <si>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</si>
  <si>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</si>
  <si>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</si>
  <si>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</si>
  <si>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</si>
  <si>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</si>
  <si>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</si>
  <si>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</si>
  <si>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</si>
  <si>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</si>
  <si>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</si>
  <si>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</si>
  <si>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</si>
  <si>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</si>
  <si>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</si>
  <si>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</si>
  <si>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</si>
  <si>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</si>
  <si>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</si>
  <si>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</si>
  <si>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</si>
  <si>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</si>
  <si>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</si>
  <si>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</si>
  <si>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</si>
  <si>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</si>
  <si>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</si>
  <si>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</si>
  <si>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</si>
  <si>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</si>
  <si>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</si>
  <si>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</si>
  <si>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</si>
  <si>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</si>
  <si>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</si>
  <si>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</si>
  <si>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</si>
  <si>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</si>
  <si>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</si>
  <si>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</si>
  <si>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</si>
  <si>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</si>
  <si>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</si>
  <si>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</si>
  <si>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</si>
  <si>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</si>
  <si>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</si>
  <si>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</si>
  <si>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</si>
  <si>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</si>
  <si>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</si>
  <si>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</si>
  <si>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</si>
  <si>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</si>
  <si>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</si>
  <si>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</si>
  <si>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</si>
  <si>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</si>
  <si>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</si>
  <si>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</si>
  <si>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</si>
  <si>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</si>
  <si>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</si>
  <si>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</si>
  <si>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</si>
  <si>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</si>
  <si>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</si>
  <si>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</si>
  <si>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</si>
  <si>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</si>
  <si>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</si>
  <si>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</si>
  <si>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</si>
  <si>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</si>
  <si>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</si>
  <si>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</si>
  <si>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</si>
  <si>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</si>
  <si>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</si>
  <si>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</si>
  <si>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</si>
  <si>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</si>
  <si>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</si>
  <si>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</si>
  <si>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</si>
  <si>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</si>
  <si>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</si>
  <si>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</si>
  <si>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</si>
  <si>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</si>
  <si>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</si>
  <si>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</si>
  <si>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</si>
  <si>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</si>
  <si>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</si>
  <si>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</si>
  <si>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</si>
  <si>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</si>
  <si>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</si>
  <si>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</si>
  <si>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</si>
  <si>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</si>
  <si>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</si>
  <si>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</si>
  <si>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</si>
  <si>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</si>
  <si>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</si>
  <si>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</si>
  <si>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</si>
  <si>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</si>
  <si>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</si>
  <si>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</si>
  <si>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</si>
  <si>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</si>
  <si>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</si>
  <si>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</si>
  <si>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</si>
  <si>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</si>
  <si>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</si>
  <si>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</si>
  <si>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</si>
  <si>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</si>
  <si>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</si>
  <si>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</si>
  <si>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</si>
  <si>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</si>
  <si>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</si>
  <si>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</si>
  <si>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</si>
  <si>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</si>
  <si>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</si>
  <si>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</si>
  <si>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</si>
  <si>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</si>
  <si>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</si>
  <si>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</si>
  <si>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</si>
  <si>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</si>
  <si>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</si>
  <si>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</si>
  <si>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</si>
  <si>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</si>
  <si>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</si>
  <si>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</si>
  <si>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</si>
  <si>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</si>
  <si>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</si>
  <si>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</si>
  <si>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</si>
  <si>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</si>
  <si>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</si>
  <si>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</si>
  <si>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</si>
  <si>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</si>
  <si>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</si>
  <si>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</si>
  <si>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</si>
  <si>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</si>
  <si>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</si>
  <si>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</si>
  <si>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</si>
  <si>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</si>
  <si>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</si>
  <si>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</si>
  <si>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</si>
  <si>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</si>
  <si>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</si>
  <si>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</si>
  <si>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</si>
  <si>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</si>
  <si>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</si>
  <si>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</si>
  <si>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</si>
  <si>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</si>
  <si>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</si>
  <si>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</si>
  <si>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</si>
  <si>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</si>
  <si>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</si>
  <si>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</si>
  <si>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</si>
  <si>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</si>
  <si>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</si>
  <si>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</si>
  <si>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</si>
  <si>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</si>
  <si>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</si>
  <si>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</si>
  <si>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</si>
  <si>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</si>
  <si>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</si>
  <si>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</si>
  <si>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</si>
  <si>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</si>
  <si>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</si>
  <si>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</si>
  <si>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</si>
  <si>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</si>
  <si>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</si>
  <si>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</si>
  <si>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</si>
  <si>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</si>
  <si>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</si>
  <si>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</si>
  <si>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</si>
  <si>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</si>
  <si>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</si>
  <si>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</si>
  <si>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</si>
  <si>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</si>
  <si>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</si>
  <si>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</si>
  <si>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</si>
  <si>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</si>
  <si>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</si>
  <si>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</si>
  <si>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</si>
  <si>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</si>
  <si>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</si>
  <si>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</si>
  <si>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</si>
  <si>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</si>
  <si>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</si>
  <si>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</si>
  <si>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</si>
  <si>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</si>
  <si>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</si>
  <si>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</si>
  <si>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</si>
  <si>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</si>
  <si>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</si>
  <si>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</si>
  <si>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</si>
  <si>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</si>
  <si>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</si>
  <si>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</si>
  <si>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</si>
  <si>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</si>
  <si>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</si>
  <si>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</si>
  <si>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</si>
  <si>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</si>
  <si>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</si>
  <si>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</si>
  <si>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</si>
  <si>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</si>
  <si>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</si>
  <si>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</si>
  <si>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</si>
  <si>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</si>
  <si>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</si>
  <si>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</si>
  <si>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</si>
  <si>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</si>
  <si>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</si>
  <si>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</si>
  <si>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</si>
  <si>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</si>
  <si>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</si>
  <si>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</si>
  <si>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</si>
  <si>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</si>
  <si>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</si>
  <si>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</si>
  <si>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</si>
  <si>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</si>
  <si>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</si>
  <si>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</si>
  <si>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</si>
  <si>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</si>
  <si>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</si>
  <si>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</si>
  <si>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</si>
  <si>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</si>
  <si>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</si>
  <si>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</si>
  <si>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</si>
  <si>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</si>
  <si>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</si>
  <si>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</si>
  <si>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</si>
  <si>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</si>
  <si>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</si>
  <si>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</si>
  <si>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</si>
  <si>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</si>
  <si>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</si>
  <si>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</si>
  <si>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</si>
  <si>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</si>
  <si>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</si>
  <si>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</si>
  <si>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</si>
  <si>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</si>
  <si>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</si>
  <si>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</si>
  <si>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</si>
  <si>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</si>
  <si>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</si>
  <si>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</si>
  <si>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</si>
  <si>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</si>
  <si>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</si>
  <si>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</si>
  <si>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</si>
  <si>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</si>
  <si>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</si>
  <si>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</si>
  <si>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</si>
  <si>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</si>
  <si>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</si>
  <si>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</si>
  <si>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</si>
  <si>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</si>
  <si>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</si>
  <si>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</si>
  <si>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</si>
  <si>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</si>
  <si>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</si>
  <si>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</si>
  <si>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</si>
  <si>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</si>
  <si>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</si>
  <si>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</si>
  <si>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</si>
  <si>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</si>
  <si>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</si>
  <si>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</si>
  <si>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</si>
  <si>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</si>
  <si>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</si>
  <si>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</si>
  <si>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</si>
  <si>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</si>
  <si>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</si>
  <si>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</si>
  <si>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</si>
  <si>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</si>
  <si>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</si>
  <si>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</si>
  <si>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</si>
  <si>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</si>
  <si>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</si>
  <si>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</si>
  <si>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</si>
  <si>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</si>
  <si>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</si>
  <si>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</si>
  <si>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</si>
  <si>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</si>
  <si>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</si>
  <si>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</si>
  <si>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</si>
  <si>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</si>
  <si>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</si>
  <si>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</si>
  <si>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</si>
  <si>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</si>
  <si>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</si>
  <si>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</si>
  <si>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</si>
  <si>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</si>
  <si>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</si>
  <si>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</si>
  <si>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</si>
  <si>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</si>
  <si>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</si>
  <si>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</si>
  <si>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</si>
  <si>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</si>
  <si>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</si>
  <si>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</si>
  <si>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</si>
  <si>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</si>
  <si>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</si>
  <si>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</si>
  <si>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</si>
  <si>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</si>
  <si>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</si>
  <si>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</si>
  <si>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</si>
  <si>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</si>
  <si>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</si>
  <si>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</si>
  <si>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</si>
  <si>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</si>
  <si>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</si>
  <si>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</si>
  <si>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</si>
  <si>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</si>
  <si>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</si>
  <si>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</si>
  <si>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</si>
  <si>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</si>
  <si>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</si>
  <si>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</si>
  <si>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</si>
  <si>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</si>
  <si>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</si>
  <si>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</si>
  <si>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</si>
  <si>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</si>
  <si>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</si>
  <si>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</si>
  <si>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</si>
  <si>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</si>
  <si>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</si>
  <si>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</si>
  <si>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</si>
  <si>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</si>
  <si>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</si>
  <si>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</si>
  <si>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</si>
  <si>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</si>
  <si>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</si>
  <si>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</si>
  <si>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</si>
  <si>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</si>
  <si>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</si>
  <si>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</si>
  <si>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</si>
  <si>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</si>
  <si>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</si>
  <si>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</si>
  <si>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</si>
  <si>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</si>
  <si>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</si>
  <si>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</si>
  <si>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</si>
  <si>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</si>
  <si>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</si>
  <si>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</si>
  <si>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</si>
  <si>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</si>
  <si>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</si>
  <si>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</si>
  <si>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</si>
  <si>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</si>
  <si>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</si>
  <si>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</si>
  <si>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</si>
  <si>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</si>
  <si>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</si>
  <si>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</si>
  <si>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</si>
  <si>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</si>
  <si>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</si>
  <si>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</si>
  <si>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</si>
  <si>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</si>
  <si>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</si>
  <si>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</si>
  <si>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</si>
  <si>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</si>
  <si>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</si>
  <si>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</si>
  <si>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</si>
  <si>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</si>
  <si>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</si>
  <si>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</si>
  <si>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</si>
  <si>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</si>
  <si>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</si>
  <si>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</si>
  <si>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</si>
  <si>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</si>
  <si>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</si>
  <si>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</si>
  <si>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</si>
  <si>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</si>
  <si>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</si>
  <si>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</si>
  <si>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</si>
  <si>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</si>
  <si>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</si>
  <si>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</si>
  <si>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</si>
  <si>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</si>
  <si>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</si>
  <si>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</si>
  <si>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</si>
  <si>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</si>
  <si>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</si>
  <si>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</si>
  <si>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</si>
  <si>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</si>
  <si>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</si>
  <si>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</si>
  <si>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</si>
  <si>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</si>
  <si>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</si>
  <si>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</si>
  <si>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</si>
  <si>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</si>
  <si>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</si>
  <si>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</si>
  <si>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</si>
  <si>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</si>
  <si>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</si>
  <si>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</si>
  <si>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</si>
  <si>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</si>
  <si>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</si>
  <si>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</si>
  <si>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</si>
  <si>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</si>
  <si>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</si>
  <si>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</si>
  <si>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</si>
  <si>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</si>
  <si>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</si>
  <si>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</si>
  <si>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</si>
  <si>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</si>
  <si>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</si>
  <si>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</si>
  <si>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</si>
  <si>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</si>
  <si>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</si>
  <si>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</si>
  <si>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</si>
  <si>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</si>
  <si>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</si>
  <si>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</si>
  <si>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</si>
  <si>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</si>
  <si>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</si>
  <si>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</si>
  <si>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</si>
  <si>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</si>
  <si>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</si>
  <si>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</si>
  <si>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</si>
  <si>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</si>
  <si>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</si>
  <si>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</si>
  <si>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</si>
  <si>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</si>
  <si>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</si>
  <si>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</si>
  <si>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</si>
  <si>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</si>
  <si>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</si>
  <si>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</si>
  <si>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</si>
  <si>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</si>
  <si>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</si>
  <si>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</si>
  <si>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</si>
  <si>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</si>
  <si>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</si>
  <si>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</si>
  <si>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</si>
  <si>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</si>
  <si>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</si>
  <si>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</si>
  <si>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</si>
  <si>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</si>
  <si>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</si>
  <si>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</si>
  <si>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</si>
  <si>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</si>
  <si>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</si>
  <si>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</si>
  <si>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</si>
  <si>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</si>
  <si>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</si>
  <si>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</si>
  <si>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</si>
  <si>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</si>
  <si>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</si>
  <si>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</si>
  <si>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</si>
  <si>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</si>
  <si>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</si>
  <si>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</si>
  <si>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</si>
  <si>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</si>
  <si>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</si>
  <si>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</si>
  <si>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</si>
  <si>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</si>
  <si>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</si>
  <si>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</si>
  <si>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</si>
  <si>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</si>
  <si>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</si>
  <si>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</si>
  <si>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</si>
  <si>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</si>
  <si>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</si>
  <si>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</si>
  <si>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</si>
  <si>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</si>
  <si>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</si>
  <si>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</si>
  <si>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</si>
  <si>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</si>
  <si>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</si>
  <si>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</si>
  <si>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</si>
  <si>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</si>
  <si>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</si>
  <si>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</si>
  <si>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</si>
  <si>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</si>
  <si>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</si>
  <si>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</si>
  <si>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</si>
  <si>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</si>
  <si>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</si>
  <si>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</si>
  <si>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</si>
  <si>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</si>
  <si>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</si>
  <si>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</si>
  <si>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</si>
  <si>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</si>
  <si>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</si>
  <si>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</si>
  <si>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</si>
  <si>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</si>
  <si>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</si>
  <si>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</si>
  <si>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</si>
  <si>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</si>
  <si>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</si>
  <si>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</si>
  <si>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</si>
  <si>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</si>
  <si>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</si>
  <si>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</si>
  <si>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</si>
  <si>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</si>
  <si>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</si>
  <si>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</si>
  <si>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</si>
  <si>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</si>
  <si>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</si>
  <si>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</si>
  <si>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</si>
  <si>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</si>
  <si>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</si>
  <si>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</si>
  <si>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</si>
  <si>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</si>
  <si>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</si>
  <si>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</si>
  <si>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</si>
  <si>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</si>
  <si>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</si>
  <si>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</si>
  <si>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</si>
  <si>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</si>
  <si>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</si>
  <si>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</si>
  <si>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</si>
  <si>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</si>
  <si>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</si>
  <si>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</si>
  <si>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</si>
  <si>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</si>
  <si>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</si>
  <si>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</si>
  <si>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</si>
  <si>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</si>
  <si>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</si>
  <si>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</si>
  <si>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</si>
  <si>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</si>
  <si>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</si>
  <si>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</si>
  <si>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</si>
  <si>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</si>
  <si>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</si>
  <si>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</si>
  <si>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</si>
  <si>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</si>
  <si>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</si>
  <si>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</si>
  <si>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</si>
  <si>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</si>
  <si>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</si>
  <si>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</si>
  <si>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</si>
  <si>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</si>
  <si>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</si>
  <si>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</si>
  <si>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</si>
  <si>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</si>
  <si>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</si>
  <si>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</si>
  <si>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</si>
  <si>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</si>
  <si>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</si>
  <si>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</si>
  <si>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</si>
  <si>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</si>
  <si>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</si>
  <si>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</si>
  <si>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</si>
  <si>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</si>
  <si>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</si>
  <si>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</si>
  <si>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</si>
  <si>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</si>
  <si>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</si>
  <si>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</si>
  <si>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</si>
  <si>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</si>
  <si>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</si>
  <si>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</si>
  <si>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</si>
  <si>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</si>
  <si>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</si>
  <si>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</si>
  <si>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</si>
  <si>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</si>
  <si>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</si>
  <si>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</si>
  <si>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</si>
  <si>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</si>
  <si>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</si>
  <si>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</si>
  <si>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</si>
  <si>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</si>
  <si>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</si>
  <si>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</si>
  <si>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</si>
  <si>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</si>
  <si>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</si>
  <si>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</si>
  <si>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</si>
  <si>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</si>
  <si>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</si>
  <si>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</si>
  <si>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</si>
  <si>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</si>
  <si>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</si>
  <si>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</si>
  <si>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</si>
  <si>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</si>
  <si>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</si>
  <si>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</si>
  <si>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</si>
  <si>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</si>
  <si>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</si>
  <si>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</si>
  <si>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</si>
  <si>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</si>
  <si>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</si>
  <si>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</si>
  <si>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</si>
  <si>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</si>
  <si>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</si>
  <si>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</si>
  <si>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</si>
  <si>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</si>
  <si>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</si>
  <si>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</si>
  <si>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</si>
  <si>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</si>
  <si>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</si>
  <si>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</si>
  <si>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</si>
  <si>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</si>
  <si>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</si>
  <si>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</si>
  <si>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</si>
  <si>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</si>
  <si>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</si>
  <si>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</si>
  <si>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</si>
  <si>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</si>
  <si>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</si>
  <si>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</si>
  <si>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</si>
  <si>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</si>
  <si>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</si>
  <si>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</si>
  <si>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</si>
  <si>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</si>
  <si>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</si>
  <si>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</si>
  <si>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</si>
  <si>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</si>
  <si>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</si>
  <si>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</si>
  <si>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</si>
  <si>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</si>
  <si>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</si>
  <si>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</si>
  <si>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</si>
  <si>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</si>
  <si>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</si>
  <si>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</si>
  <si>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</si>
  <si>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</si>
  <si>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</si>
  <si>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</si>
  <si>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</si>
  <si>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</si>
  <si>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</si>
  <si>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</si>
  <si>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</si>
  <si>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</si>
  <si>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</si>
  <si>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</si>
  <si>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</si>
  <si>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</si>
  <si>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</si>
  <si>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</si>
  <si>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</si>
  <si>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</si>
  <si>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</si>
  <si>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</si>
  <si>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</si>
  <si>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</si>
  <si>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</si>
  <si>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</si>
  <si>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</si>
  <si>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</si>
  <si>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</si>
  <si>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</si>
  <si>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</si>
  <si>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</si>
  <si>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</si>
  <si>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</si>
  <si>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</si>
  <si>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</si>
  <si>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</si>
  <si>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</si>
  <si>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</si>
  <si>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</si>
  <si>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</si>
  <si>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</si>
  <si>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</si>
  <si>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</si>
  <si>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</si>
  <si>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</si>
  <si>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</si>
  <si>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</si>
  <si>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</si>
  <si>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</si>
  <si>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</si>
  <si>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</si>
  <si>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</si>
  <si>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</si>
  <si>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</si>
  <si>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</si>
  <si>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</si>
  <si>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</si>
  <si>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</si>
  <si>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</si>
  <si>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</si>
  <si>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</si>
  <si>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</si>
  <si>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</si>
  <si>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</si>
  <si>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</si>
  <si>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</si>
  <si>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</si>
  <si>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</si>
  <si>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</si>
  <si>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</si>
  <si>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</si>
  <si>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</si>
  <si>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</si>
  <si>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</si>
  <si>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</si>
  <si>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</si>
  <si>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</si>
  <si>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</si>
  <si>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</si>
  <si>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</si>
  <si>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</si>
  <si>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</si>
  <si>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</si>
  <si>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</si>
  <si>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</si>
  <si>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</si>
  <si>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</si>
  <si>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</si>
  <si>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</si>
  <si>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</si>
  <si>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</si>
  <si>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</si>
  <si>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</si>
  <si>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</si>
  <si>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</si>
  <si>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</si>
  <si>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</si>
  <si>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</si>
  <si>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</si>
  <si>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</si>
  <si>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</si>
  <si>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</si>
  <si>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</si>
  <si>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</si>
  <si>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</si>
  <si>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</si>
  <si>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</si>
  <si>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</si>
  <si>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</si>
  <si>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</si>
  <si>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</si>
  <si>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</si>
  <si>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</si>
  <si>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</si>
  <si>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</si>
  <si>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</si>
  <si>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</si>
  <si>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</si>
  <si>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</si>
  <si>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</si>
  <si>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</si>
  <si>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</si>
  <si>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</si>
  <si>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</si>
  <si>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</si>
  <si>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</si>
  <si>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</si>
  <si>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</si>
  <si>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</si>
  <si>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</si>
  <si>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</si>
  <si>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</si>
  <si>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</si>
  <si>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</si>
  <si>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</si>
  <si>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</si>
  <si>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</si>
  <si>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</si>
  <si>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</si>
  <si>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</si>
  <si>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</si>
  <si>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</si>
  <si>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</si>
  <si>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</si>
  <si>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</si>
  <si>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</si>
  <si>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</si>
  <si>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</si>
  <si>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</si>
  <si>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</si>
  <si>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</si>
  <si>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</si>
  <si>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</si>
  <si>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</si>
  <si>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</si>
  <si>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</si>
  <si>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</si>
  <si>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</si>
  <si>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</si>
  <si>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</si>
  <si>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</si>
  <si>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</si>
  <si>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</si>
  <si>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</si>
  <si>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</si>
  <si>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</si>
  <si>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</si>
  <si>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</si>
  <si>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</si>
  <si>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</si>
  <si>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</si>
  <si>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</si>
  <si>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</si>
  <si>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</si>
  <si>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</si>
  <si>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</si>
  <si>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</si>
  <si>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</si>
  <si>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</si>
  <si>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</si>
  <si>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</si>
  <si>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</si>
  <si>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</si>
  <si>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</si>
  <si>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</si>
  <si>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</si>
  <si>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</si>
  <si>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</si>
  <si>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</si>
  <si>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</si>
  <si>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</si>
  <si>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</si>
  <si>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</si>
  <si>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</si>
  <si>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</si>
  <si>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</si>
  <si>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</si>
  <si>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</si>
  <si>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</si>
  <si>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</si>
  <si>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</si>
  <si>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</si>
  <si>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</si>
  <si>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</si>
  <si>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</si>
  <si>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</si>
  <si>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</si>
  <si>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</si>
  <si>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</si>
  <si>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</si>
  <si>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</si>
  <si>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</si>
  <si>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</si>
  <si>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</si>
  <si>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</si>
  <si>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</si>
  <si>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</si>
  <si>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</si>
  <si>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</si>
  <si>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</si>
  <si>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</si>
  <si>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</si>
  <si>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</si>
  <si>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</si>
  <si>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</si>
  <si>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</si>
  <si>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</si>
  <si>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</si>
  <si>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</si>
  <si>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</si>
  <si>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</si>
  <si>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</si>
  <si>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</si>
  <si>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</si>
  <si>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</si>
  <si>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</si>
  <si>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</si>
  <si>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</si>
  <si>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</si>
  <si>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</si>
  <si>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</si>
  <si>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</si>
  <si>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</si>
  <si>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</si>
  <si>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</si>
  <si>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</si>
  <si>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</si>
  <si>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</si>
  <si>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</si>
  <si>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</si>
  <si>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</si>
  <si>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</si>
  <si>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</si>
  <si>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</si>
  <si>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</si>
  <si>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</si>
  <si>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</si>
  <si>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</si>
  <si>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</si>
  <si>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</si>
  <si>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</si>
  <si>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</si>
  <si>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</si>
  <si>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</si>
  <si>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</si>
  <si>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</si>
  <si>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</si>
  <si>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</si>
  <si>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</si>
  <si>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</si>
  <si>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</si>
  <si>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</si>
  <si>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</si>
  <si>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</si>
  <si>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</si>
  <si>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</si>
  <si>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</si>
  <si>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</si>
  <si>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</si>
  <si>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</si>
  <si>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</si>
  <si>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</si>
  <si>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</si>
  <si>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</si>
  <si>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</si>
  <si>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</si>
  <si>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</si>
  <si>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</si>
  <si>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</si>
  <si>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</si>
  <si>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</si>
  <si>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</si>
  <si>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</si>
  <si>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</si>
  <si>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</si>
  <si>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</si>
  <si>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</si>
  <si>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</si>
  <si>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</si>
  <si>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</si>
  <si>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</si>
  <si>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</si>
  <si>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</si>
  <si>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</si>
  <si>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</si>
  <si>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</si>
  <si>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</si>
  <si>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</si>
  <si>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</si>
  <si>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</si>
  <si>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</si>
  <si>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</si>
  <si>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</si>
  <si>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</si>
  <si>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</si>
  <si>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</si>
  <si>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</si>
  <si>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</si>
  <si>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</si>
  <si>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</si>
  <si>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</si>
  <si>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</si>
  <si>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</si>
  <si>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</si>
  <si>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</si>
  <si>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</si>
  <si>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</si>
  <si>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</si>
  <si>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</si>
  <si>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</si>
  <si>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</si>
  <si>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</si>
  <si>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</si>
  <si>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</si>
  <si>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</si>
  <si>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</si>
  <si>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</si>
  <si>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</si>
  <si>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</si>
  <si>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</si>
  <si>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</si>
  <si>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</si>
  <si>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</si>
  <si>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</si>
  <si>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</si>
  <si>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</si>
  <si>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</si>
  <si>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</si>
  <si>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</si>
  <si>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</si>
  <si>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</si>
  <si>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</si>
  <si>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</si>
  <si>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</si>
  <si>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</si>
  <si>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</si>
  <si>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</si>
  <si>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</si>
  <si>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</si>
  <si>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</si>
  <si>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</si>
  <si>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</si>
  <si>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</si>
  <si>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</si>
  <si>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</si>
  <si>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</si>
  <si>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</si>
  <si>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</si>
  <si>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</si>
  <si>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</si>
  <si>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</si>
  <si>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</si>
  <si>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</si>
  <si>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</si>
  <si>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</si>
  <si>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</si>
  <si>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</si>
  <si>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</si>
  <si>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</si>
  <si>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</si>
  <si>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</si>
  <si>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</si>
  <si>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</si>
  <si>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</si>
  <si>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</si>
  <si>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</si>
  <si>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</si>
  <si>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</si>
  <si>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</si>
  <si>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</si>
  <si>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</si>
  <si>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</si>
  <si>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</si>
  <si>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</si>
  <si>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</si>
  <si>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</si>
  <si>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</si>
  <si>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</si>
  <si>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</si>
  <si>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</si>
  <si>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</si>
  <si>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</si>
  <si>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</si>
  <si>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</si>
  <si>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</si>
  <si>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</si>
  <si>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</si>
  <si>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</si>
  <si>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</si>
  <si>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</si>
  <si>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</si>
  <si>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</si>
  <si>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</si>
  <si>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</si>
  <si>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</si>
  <si>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</si>
  <si>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</si>
  <si>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</si>
  <si>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</si>
  <si>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</si>
  <si>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</si>
  <si>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</si>
  <si>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</si>
  <si>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</si>
  <si>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</si>
  <si>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</si>
  <si>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</si>
  <si>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</si>
  <si>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</si>
  <si>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</si>
  <si>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</si>
  <si>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</si>
  <si>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</si>
  <si>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</si>
  <si>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</si>
  <si>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</si>
  <si>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</si>
  <si>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</si>
  <si>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</si>
  <si>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</si>
  <si>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</si>
  <si>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</si>
  <si>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</si>
  <si>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</si>
  <si>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</si>
  <si>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</si>
  <si>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</si>
  <si>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</si>
  <si>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</si>
  <si>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</si>
  <si>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</si>
  <si>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</si>
  <si>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</si>
  <si>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</si>
  <si>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</si>
  <si>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</si>
  <si>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</si>
  <si>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</si>
  <si>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</si>
  <si>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</si>
  <si>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</si>
  <si>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</si>
  <si>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</si>
  <si>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</si>
  <si>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</si>
  <si>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</si>
  <si>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</si>
  <si>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</si>
  <si>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</si>
  <si>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</si>
  <si>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</si>
  <si>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</si>
  <si>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</si>
  <si>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</si>
  <si>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</si>
  <si>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</si>
  <si>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</si>
  <si>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</si>
  <si>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</si>
  <si>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</si>
  <si>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</si>
  <si>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</si>
  <si>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</si>
  <si>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</si>
  <si>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</si>
  <si>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</si>
  <si>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</si>
  <si>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</si>
  <si>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</si>
  <si>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</si>
  <si>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</si>
  <si>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</si>
  <si>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</si>
  <si>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</si>
  <si>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</si>
  <si>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</si>
  <si>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</si>
  <si>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</si>
  <si>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</si>
  <si>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</si>
  <si>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</si>
  <si>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</si>
  <si>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</si>
  <si>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</si>
  <si>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</si>
  <si>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</si>
  <si>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</si>
  <si>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</si>
  <si>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</si>
  <si>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</si>
  <si>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</si>
  <si>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</si>
  <si>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</si>
  <si>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</si>
  <si>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</si>
  <si>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</si>
  <si>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</si>
  <si>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</si>
  <si>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</si>
  <si>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</si>
  <si>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</si>
  <si>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</si>
  <si>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</si>
  <si>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</si>
  <si>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</si>
  <si>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</si>
  <si>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</si>
  <si>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</si>
  <si>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</si>
  <si>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</si>
  <si>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</si>
  <si>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</si>
  <si>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</si>
  <si>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</si>
  <si>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</si>
  <si>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</si>
  <si>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</si>
  <si>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</si>
  <si>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</si>
  <si>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</si>
  <si>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</si>
  <si>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</si>
  <si>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</si>
  <si>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</si>
  <si>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</si>
  <si>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</si>
  <si>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</si>
  <si>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</si>
  <si>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</si>
  <si>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</si>
  <si>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</si>
  <si>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</si>
  <si>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</si>
  <si>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</si>
  <si>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</si>
  <si>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</si>
  <si>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</si>
  <si>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</si>
  <si>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</si>
  <si>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</si>
  <si>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</si>
  <si>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</si>
  <si>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</si>
  <si>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</si>
  <si>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</si>
  <si>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</si>
  <si>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</si>
  <si>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</si>
  <si>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</si>
  <si>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</si>
  <si>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</si>
  <si>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</si>
  <si>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</si>
  <si>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</si>
  <si>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</si>
  <si>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</si>
  <si>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</si>
  <si>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</si>
  <si>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</si>
  <si>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</si>
  <si>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</si>
  <si>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</si>
  <si>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</si>
  <si>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</si>
  <si>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</si>
  <si>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</si>
  <si>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</si>
  <si>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</si>
  <si>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</si>
  <si>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</si>
  <si>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</si>
  <si>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</si>
  <si>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</si>
  <si>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</si>
  <si>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</si>
  <si>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</si>
  <si>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</si>
  <si>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</si>
  <si>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</si>
  <si>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</si>
  <si>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</si>
  <si>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</si>
  <si>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</si>
  <si>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</si>
  <si>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</si>
  <si>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</si>
  <si>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</si>
  <si>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</si>
  <si>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</si>
  <si>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</si>
  <si>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</si>
  <si>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</si>
  <si>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</si>
  <si>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</si>
  <si>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</si>
  <si>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</si>
  <si>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</si>
  <si>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</si>
  <si>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</si>
  <si>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</si>
  <si>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</si>
  <si>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</si>
  <si>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</si>
  <si>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</si>
  <si>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</si>
  <si>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</si>
  <si>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</si>
  <si>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</si>
  <si>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</si>
  <si>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</si>
  <si>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</si>
  <si>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</si>
  <si>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</si>
  <si>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</si>
  <si>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</si>
  <si>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</si>
  <si>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</si>
  <si>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</si>
  <si>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</si>
  <si>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</si>
  <si>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</si>
  <si>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</si>
  <si>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</si>
  <si>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</si>
  <si>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</si>
  <si>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</si>
  <si>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</si>
  <si>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</si>
  <si>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</si>
  <si>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</si>
  <si>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</si>
  <si>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</si>
  <si>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</si>
  <si>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</si>
  <si>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</si>
  <si>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</si>
  <si>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</si>
  <si>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</si>
  <si>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</si>
  <si>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</si>
  <si>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</si>
  <si>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</si>
  <si>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</si>
  <si>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</si>
  <si>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</si>
  <si>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</si>
  <si>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</si>
  <si>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</si>
  <si>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</si>
  <si>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</si>
  <si>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</si>
  <si>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</si>
  <si>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</si>
  <si>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</si>
  <si>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</si>
  <si>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</si>
  <si>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</si>
  <si>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</si>
  <si>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</si>
  <si>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</si>
  <si>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</si>
  <si>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</si>
  <si>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</si>
  <si>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</si>
  <si>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</si>
  <si>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</si>
  <si>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</si>
  <si>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</si>
  <si>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</si>
  <si>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</si>
  <si>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</si>
  <si>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</si>
  <si>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</si>
  <si>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</si>
  <si>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</si>
  <si>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</si>
  <si>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</si>
  <si>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</si>
  <si>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</si>
  <si>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</si>
  <si>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</si>
  <si>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</si>
  <si>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</si>
  <si>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</si>
  <si>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</si>
  <si>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</si>
  <si>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</si>
  <si>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</si>
  <si>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</si>
  <si>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</si>
  <si>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</si>
  <si>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</si>
  <si>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</si>
  <si>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</si>
  <si>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</si>
  <si>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</si>
  <si>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</si>
  <si>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</si>
  <si>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</si>
  <si>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</si>
  <si>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</si>
  <si>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</si>
  <si>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</si>
  <si>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</si>
  <si>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</si>
  <si>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</si>
  <si>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</si>
  <si>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</si>
  <si>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</si>
  <si>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</si>
  <si>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</si>
  <si>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</si>
  <si>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</si>
  <si>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</si>
  <si>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</si>
  <si>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</si>
  <si>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</si>
  <si>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</si>
  <si>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</si>
  <si>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</si>
  <si>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</si>
  <si>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</si>
  <si>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</si>
  <si>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</si>
  <si>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</si>
  <si>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</si>
  <si>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</si>
  <si>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</si>
  <si>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</si>
  <si>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</si>
  <si>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</si>
  <si>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</si>
  <si>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</si>
  <si>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</si>
  <si>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</si>
  <si>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</si>
  <si>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</si>
  <si>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</si>
  <si>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</si>
  <si>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</si>
  <si>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</si>
  <si>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</si>
  <si>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</si>
  <si>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</si>
  <si>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</si>
  <si>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</si>
  <si>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</si>
  <si>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</si>
  <si>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</si>
  <si>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</si>
  <si>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</si>
  <si>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</si>
  <si>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</si>
  <si>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</si>
  <si>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</si>
  <si>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</si>
  <si>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</si>
  <si>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</si>
  <si>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</si>
  <si>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</si>
  <si>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</si>
  <si>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</si>
  <si>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</si>
  <si>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</si>
  <si>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</si>
  <si>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</si>
  <si>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</si>
  <si>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</si>
  <si>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</si>
  <si>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</si>
  <si>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</si>
  <si>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</si>
  <si>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</si>
  <si>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</si>
  <si>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</si>
  <si>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</si>
  <si>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</si>
  <si>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</si>
  <si>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</si>
  <si>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</si>
  <si>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</si>
  <si>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</si>
  <si>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</si>
  <si>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</si>
  <si>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</si>
  <si>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</si>
  <si>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</si>
  <si>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</si>
  <si>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</si>
  <si>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</si>
  <si>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</si>
  <si>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</si>
  <si>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</si>
  <si>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</si>
  <si>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</si>
  <si>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</si>
  <si>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</si>
  <si>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</si>
  <si>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</si>
  <si>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</si>
  <si>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</si>
  <si>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</si>
  <si>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</si>
  <si>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</si>
  <si>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</si>
  <si>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</si>
  <si>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</si>
  <si>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</si>
  <si>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</si>
  <si>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</si>
  <si>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</si>
  <si>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</si>
  <si>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</si>
  <si>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</si>
  <si>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</si>
  <si>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</si>
  <si>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</si>
  <si>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</si>
  <si>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</si>
  <si>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</si>
  <si>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</si>
  <si>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</si>
  <si>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</si>
  <si>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</si>
  <si>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</si>
  <si>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</si>
  <si>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</si>
  <si>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</si>
  <si>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</si>
  <si>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</si>
  <si>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</si>
  <si>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</si>
  <si>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</si>
  <si>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</si>
  <si>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</si>
  <si>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</si>
  <si>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</si>
  <si>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</si>
  <si>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</si>
  <si>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</si>
  <si>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</si>
  <si>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</si>
  <si>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</si>
  <si>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</si>
  <si>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</si>
  <si>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</si>
  <si>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</si>
  <si>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</si>
  <si>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</si>
  <si>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</si>
  <si>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</si>
  <si>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</si>
  <si>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</si>
  <si>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</si>
  <si>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</si>
  <si>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</si>
  <si>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</si>
  <si>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</si>
  <si>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</si>
  <si>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</si>
  <si>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</si>
  <si>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</si>
  <si>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</si>
  <si>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</si>
  <si>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</si>
  <si>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</si>
  <si>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</si>
  <si>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</si>
  <si>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</si>
  <si>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</si>
  <si>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</si>
  <si>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</si>
  <si>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</si>
  <si>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</si>
  <si>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</si>
  <si>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</si>
  <si>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</si>
  <si>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</si>
  <si>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</si>
  <si>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</si>
  <si>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</si>
  <si>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</si>
  <si>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</si>
  <si>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</si>
  <si>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</si>
  <si>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</si>
  <si>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</si>
  <si>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</si>
  <si>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</si>
  <si>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</si>
  <si>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</si>
  <si>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</si>
  <si>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</si>
  <si>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</si>
  <si>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</si>
  <si>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</si>
  <si>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</si>
  <si>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</si>
  <si>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</si>
  <si>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</si>
  <si>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</si>
  <si>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</si>
  <si>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</si>
  <si>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</si>
  <si>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</si>
  <si>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</si>
  <si>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</si>
  <si>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</si>
  <si>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</si>
  <si>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</si>
  <si>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</si>
  <si>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</si>
  <si>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</si>
  <si>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</si>
  <si>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</si>
  <si>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</si>
  <si>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</si>
  <si>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</si>
  <si>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</si>
  <si>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</si>
  <si>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</si>
  <si>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</si>
  <si>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</si>
  <si>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</si>
  <si>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</si>
  <si>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</si>
  <si>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</si>
  <si>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</si>
  <si>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</si>
  <si>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</si>
  <si>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</si>
  <si>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</si>
  <si>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</si>
  <si>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</si>
  <si>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</si>
  <si>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</si>
  <si>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</si>
  <si>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</si>
  <si>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</si>
  <si>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</si>
  <si>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</si>
  <si>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</si>
  <si>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</si>
  <si>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</si>
  <si>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</si>
  <si>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</si>
  <si>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</si>
  <si>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</si>
  <si>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</si>
  <si>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</si>
  <si>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</si>
  <si>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</si>
  <si>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</si>
  <si>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</si>
  <si>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</si>
  <si>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</si>
  <si>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</si>
  <si>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</si>
  <si>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</si>
  <si>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</si>
  <si>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</si>
  <si>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</si>
  <si>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</si>
  <si>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</si>
  <si>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</si>
  <si>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</si>
  <si>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</si>
  <si>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</si>
  <si>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</si>
  <si>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</si>
  <si>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</si>
  <si>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</si>
  <si>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</si>
  <si>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</si>
  <si>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</si>
  <si>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</si>
  <si>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</si>
  <si>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</si>
  <si>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</si>
  <si>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</si>
  <si>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</si>
  <si>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</si>
  <si>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</si>
  <si>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</si>
  <si>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</si>
  <si>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</si>
  <si>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</si>
  <si>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</si>
  <si>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</si>
  <si>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</si>
  <si>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</si>
  <si>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</si>
  <si>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</si>
  <si>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</si>
  <si>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</si>
  <si>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</si>
  <si>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</si>
  <si>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</si>
  <si>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</si>
  <si>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</si>
  <si>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</si>
  <si>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</si>
  <si>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</si>
  <si>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</si>
  <si>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</si>
  <si>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</si>
  <si>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</si>
  <si>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</si>
  <si>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</si>
  <si>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</si>
  <si>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</si>
  <si>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</si>
  <si>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</si>
  <si>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</si>
  <si>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</si>
  <si>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</si>
  <si>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</si>
  <si>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</si>
  <si>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</si>
  <si>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</si>
  <si>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</si>
  <si>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</si>
  <si>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</si>
  <si>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</si>
  <si>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</si>
  <si>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</si>
  <si>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</si>
  <si>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</si>
  <si>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</si>
  <si>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</si>
  <si>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</si>
  <si>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</si>
  <si>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</si>
  <si>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</si>
  <si>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</si>
  <si>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</si>
  <si>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</si>
  <si>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</si>
  <si>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</si>
  <si>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</si>
  <si>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</si>
  <si>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</si>
  <si>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</si>
  <si>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</si>
  <si>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</si>
  <si>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</si>
  <si>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</si>
  <si>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</si>
  <si>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</si>
  <si>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</si>
  <si>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</si>
  <si>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</si>
  <si>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</si>
  <si>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</si>
  <si>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</si>
  <si>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</si>
  <si>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</si>
  <si>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</si>
  <si>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</si>
  <si>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</si>
  <si>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</si>
  <si>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</si>
  <si>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</si>
  <si>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</si>
  <si>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</si>
  <si>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</si>
  <si>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</si>
  <si>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</si>
  <si>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</si>
  <si>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</si>
  <si>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</si>
  <si>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</si>
  <si>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</si>
  <si>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</si>
  <si>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</si>
  <si>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</si>
  <si>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</si>
  <si>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</si>
  <si>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</si>
  <si>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</si>
  <si>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</si>
  <si>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</si>
  <si>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</si>
  <si>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</si>
  <si>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</si>
  <si>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</si>
  <si>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</si>
  <si>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</si>
  <si>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</si>
  <si>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</si>
  <si>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</si>
  <si>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</si>
  <si>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</si>
  <si>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</si>
  <si>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</si>
  <si>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</si>
  <si>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</si>
  <si>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</si>
  <si>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</si>
  <si>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</si>
  <si>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</si>
  <si>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</si>
  <si>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</si>
  <si>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</si>
  <si>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</si>
  <si>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</si>
  <si>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</si>
  <si>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</si>
  <si>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</si>
  <si>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</si>
  <si>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</si>
  <si>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</si>
  <si>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</si>
  <si>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</si>
  <si>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</si>
  <si>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</si>
  <si>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</si>
  <si>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</si>
  <si>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</si>
  <si>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</si>
  <si>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</si>
  <si>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</si>
  <si>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</si>
  <si>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</si>
  <si>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</si>
  <si>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</si>
  <si>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</si>
  <si>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</si>
  <si>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</si>
  <si>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</si>
  <si>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</si>
  <si>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</si>
  <si>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</si>
  <si>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</si>
  <si>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</si>
  <si>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</si>
  <si>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</si>
  <si>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</si>
  <si>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</si>
  <si>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</si>
  <si>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</si>
  <si>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</si>
  <si>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</si>
  <si>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</si>
  <si>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</si>
  <si>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</si>
  <si>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</si>
  <si>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</si>
  <si>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</si>
  <si>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</si>
  <si>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</si>
  <si>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</si>
  <si>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</si>
  <si>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</si>
  <si>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</si>
  <si>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</si>
  <si>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</si>
  <si>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</si>
  <si>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</si>
  <si>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</si>
  <si>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</si>
  <si>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</si>
  <si>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</si>
  <si>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</si>
  <si>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</si>
  <si>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</si>
  <si>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</si>
  <si>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</si>
  <si>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</si>
  <si>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</si>
  <si>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</si>
  <si>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</si>
  <si>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</si>
  <si>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</si>
  <si>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</si>
  <si>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</si>
  <si>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</si>
  <si>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</si>
  <si>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</si>
  <si>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</si>
  <si>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</si>
  <si>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</si>
  <si>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</si>
  <si>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</si>
  <si>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</si>
  <si>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</si>
  <si>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</si>
  <si>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</si>
  <si>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</si>
  <si>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</si>
  <si>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</si>
  <si>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</si>
  <si>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</si>
  <si>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</si>
  <si>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</si>
  <si>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</si>
  <si>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</si>
  <si>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</si>
  <si>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</si>
  <si>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</si>
  <si>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</si>
  <si>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</si>
  <si>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</si>
  <si>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</si>
  <si>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</si>
  <si>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</si>
  <si>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</si>
  <si>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</si>
  <si>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</si>
  <si>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</si>
  <si>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</si>
  <si>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</si>
  <si>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</si>
  <si>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</si>
  <si>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</si>
  <si>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</si>
  <si>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</si>
  <si>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</si>
  <si>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</si>
  <si>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</si>
  <si>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</si>
  <si>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</si>
  <si>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</si>
  <si>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</si>
  <si>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</si>
  <si>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</si>
  <si>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</si>
  <si>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</si>
  <si>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</si>
  <si>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</si>
  <si>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</si>
  <si>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</si>
  <si>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</si>
  <si>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</si>
  <si>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</si>
  <si>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</si>
  <si>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</si>
  <si>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</si>
  <si>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</si>
  <si>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</si>
  <si>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</si>
  <si>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</si>
  <si>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</si>
  <si>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</si>
  <si>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</si>
  <si>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</si>
  <si>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</si>
  <si>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</si>
  <si>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</si>
  <si>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</si>
  <si>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</si>
  <si>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</si>
  <si>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</si>
  <si>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</si>
  <si>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</si>
  <si>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</si>
  <si>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</si>
  <si>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</si>
  <si>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</si>
  <si>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</si>
  <si>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</si>
  <si>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</si>
  <si>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</si>
  <si>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</si>
  <si>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</si>
  <si>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</si>
  <si>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</si>
  <si>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</si>
  <si>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</si>
  <si>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</si>
  <si>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</si>
  <si>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</si>
  <si>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</si>
  <si>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</si>
  <si>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</si>
  <si>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</si>
  <si>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</si>
  <si>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</si>
  <si>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</si>
  <si>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</si>
  <si>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</si>
  <si>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</si>
  <si>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</si>
  <si>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</si>
  <si>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</si>
  <si>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</si>
  <si>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</si>
  <si>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</si>
  <si>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</si>
  <si>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</si>
  <si>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</si>
  <si>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</si>
  <si>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</si>
  <si>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</si>
  <si>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</si>
  <si>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</si>
  <si>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</si>
  <si>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</si>
  <si>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</si>
  <si>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</si>
  <si>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</si>
  <si>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</si>
  <si>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</si>
  <si>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</si>
  <si>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</si>
  <si>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</si>
  <si>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</si>
  <si>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</si>
  <si>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</si>
  <si>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</si>
  <si>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</si>
  <si>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</si>
  <si>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</si>
  <si>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</si>
  <si>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</si>
  <si>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</si>
  <si>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</si>
  <si>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</si>
  <si>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</si>
  <si>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</si>
  <si>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</si>
  <si>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</si>
  <si>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</si>
  <si>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</si>
  <si>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</si>
  <si>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</si>
  <si>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</si>
  <si>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</si>
  <si>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</si>
  <si>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</si>
  <si>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</si>
  <si>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</si>
  <si>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</si>
  <si>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</si>
  <si>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</si>
  <si>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</si>
  <si>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</si>
  <si>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</si>
  <si>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</si>
  <si>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</si>
  <si>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</si>
  <si>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</si>
  <si>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</si>
  <si>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</si>
  <si>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</si>
  <si>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</si>
  <si>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</si>
  <si>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</si>
  <si>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</si>
  <si>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</si>
  <si>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</si>
  <si>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</si>
  <si>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</si>
  <si>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</si>
  <si>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</si>
  <si>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</si>
  <si>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</si>
  <si>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</si>
  <si>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</si>
  <si>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</si>
  <si>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</si>
  <si>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</si>
  <si>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</si>
  <si>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</si>
  <si>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</si>
  <si>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</si>
  <si>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</si>
  <si>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</si>
  <si>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</si>
  <si>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</si>
  <si>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</si>
  <si>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</si>
  <si>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</si>
  <si>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</si>
  <si>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</si>
  <si>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</si>
  <si>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</si>
  <si>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</si>
  <si>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</si>
  <si>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</si>
  <si>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</si>
  <si>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</si>
  <si>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</si>
  <si>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</si>
  <si>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</si>
  <si>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</si>
  <si>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</si>
  <si>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</si>
  <si>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</si>
  <si>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</si>
  <si>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</si>
  <si>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</si>
  <si>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</si>
  <si>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</si>
  <si>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</si>
  <si>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</si>
  <si>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</si>
  <si>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</si>
  <si>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</si>
  <si>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</si>
  <si>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</si>
  <si>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</si>
  <si>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</si>
  <si>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</si>
  <si>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</si>
  <si>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</si>
  <si>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</si>
  <si>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</si>
  <si>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</si>
  <si>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</si>
  <si>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</si>
  <si>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</si>
  <si>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</si>
  <si>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</si>
  <si>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</si>
  <si>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</si>
  <si>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</si>
  <si>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</si>
  <si>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</si>
  <si>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</si>
  <si>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</si>
  <si>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</si>
  <si>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</si>
  <si>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</si>
  <si>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</si>
  <si>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</si>
  <si>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</si>
  <si>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</si>
  <si>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</si>
  <si>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</si>
  <si>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</si>
  <si>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</si>
  <si>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</si>
  <si>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</si>
  <si>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</si>
  <si>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</si>
  <si>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</si>
  <si>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</si>
  <si>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</si>
  <si>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</si>
  <si>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</si>
  <si>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</si>
  <si>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</si>
  <si>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</si>
  <si>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</si>
  <si>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</si>
  <si>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</si>
  <si>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</si>
  <si>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</si>
  <si>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</si>
  <si>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</si>
  <si>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</si>
  <si>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</si>
  <si>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</si>
  <si>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</si>
  <si>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</si>
  <si>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</si>
  <si>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</si>
  <si>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</si>
  <si>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</si>
  <si>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</si>
  <si>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</si>
  <si>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</si>
  <si>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</si>
  <si>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</si>
  <si>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</si>
  <si>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</si>
  <si>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</si>
  <si>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</si>
  <si>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</si>
  <si>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</si>
  <si>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</si>
  <si>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</si>
  <si>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</si>
  <si>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</si>
  <si>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</si>
  <si>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</si>
  <si>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</si>
  <si>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</si>
  <si>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</si>
  <si>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</si>
  <si>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</si>
  <si>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</si>
  <si>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</si>
  <si>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</si>
  <si>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</si>
  <si>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</si>
  <si>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</si>
  <si>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</si>
  <si>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</si>
  <si>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</si>
  <si>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</si>
  <si>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</si>
  <si>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</si>
  <si>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</si>
  <si>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</si>
  <si>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</si>
  <si>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</si>
  <si>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</si>
  <si>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</si>
  <si>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</si>
  <si>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</si>
  <si>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</si>
  <si>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</si>
  <si>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</si>
  <si>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</si>
  <si>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</si>
  <si>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</si>
  <si>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</si>
  <si>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</si>
  <si>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</si>
  <si>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</si>
  <si>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</si>
  <si>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</si>
  <si>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</si>
  <si>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</si>
  <si>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</si>
  <si>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</si>
  <si>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</si>
  <si>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</si>
  <si>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</si>
  <si>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</si>
  <si>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</si>
  <si>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</si>
  <si>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</si>
  <si>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</si>
  <si>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</si>
  <si>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</si>
  <si>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</si>
  <si>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</si>
  <si>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</si>
  <si>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</si>
  <si>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</si>
  <si>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</si>
  <si>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</si>
  <si>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</si>
  <si>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</si>
  <si>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</si>
  <si>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</si>
  <si>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</si>
  <si>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</si>
  <si>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</si>
  <si>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</si>
  <si>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</si>
  <si>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</si>
  <si>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</si>
  <si>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</si>
  <si>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</si>
  <si>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</si>
  <si>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</si>
  <si>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</si>
  <si>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</si>
  <si>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</si>
  <si>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</si>
  <si>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</si>
  <si>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</si>
  <si>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</si>
  <si>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</si>
  <si>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</si>
  <si>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</si>
  <si>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</si>
  <si>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</si>
  <si>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</si>
  <si>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</si>
  <si>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</si>
  <si>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</si>
  <si>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</si>
  <si>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</si>
  <si>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</si>
  <si>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</si>
  <si>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</si>
  <si>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</si>
  <si>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</si>
  <si>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</si>
  <si>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</si>
  <si>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</si>
  <si>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</si>
  <si>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</si>
  <si>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</si>
  <si>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</si>
  <si>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</si>
  <si>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</si>
  <si>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</si>
  <si>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</si>
  <si>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</si>
  <si>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</si>
  <si>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</si>
  <si>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</si>
  <si>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</si>
  <si>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</si>
  <si>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</si>
  <si>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</si>
  <si>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</si>
  <si>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</si>
  <si>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</si>
  <si>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</si>
  <si>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</si>
  <si>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</si>
  <si>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</si>
  <si>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</si>
  <si>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</si>
  <si>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</si>
  <si>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</si>
  <si>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</si>
  <si>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</si>
  <si>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</si>
  <si>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</si>
  <si>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</si>
  <si>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</si>
  <si>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</si>
  <si>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</si>
  <si>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</si>
  <si>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</si>
  <si>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</si>
  <si>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</si>
  <si>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</si>
  <si>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</si>
  <si>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</si>
  <si>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</si>
  <si>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</si>
  <si>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</si>
  <si>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</si>
  <si>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</si>
  <si>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</si>
  <si>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</si>
  <si>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</si>
  <si>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</si>
  <si>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</si>
  <si>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</si>
  <si>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</si>
  <si>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</si>
  <si>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</si>
  <si>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</si>
  <si>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</si>
  <si>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</si>
  <si>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</si>
  <si>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</si>
  <si>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</si>
  <si>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</si>
  <si>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</si>
  <si>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</si>
  <si>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</si>
  <si>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</si>
  <si>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</si>
  <si>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</si>
  <si>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</si>
  <si>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</si>
  <si>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</si>
  <si>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</si>
  <si>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</si>
  <si>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</si>
  <si>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</si>
  <si>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</si>
  <si>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</si>
  <si>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</si>
  <si>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</si>
  <si>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</si>
  <si>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</si>
  <si>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</si>
  <si>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</si>
  <si>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</si>
  <si>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</si>
  <si>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</si>
  <si>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</si>
  <si>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</si>
  <si>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</si>
  <si>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</si>
  <si>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</si>
  <si>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</si>
  <si>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</si>
  <si>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</si>
  <si>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</si>
  <si>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</si>
  <si>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</si>
  <si>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</si>
  <si>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</si>
  <si>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</si>
  <si>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</si>
  <si>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</si>
  <si>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</si>
  <si>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</si>
  <si>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</si>
  <si>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</si>
  <si>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</si>
  <si>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</si>
  <si>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</si>
  <si>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</si>
  <si>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</si>
  <si>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</si>
  <si>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</si>
  <si>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</si>
  <si>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</si>
  <si>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</si>
  <si>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</si>
  <si>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</si>
  <si>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</si>
  <si>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</si>
  <si>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</si>
  <si>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</si>
  <si>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</si>
  <si>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</si>
  <si>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</si>
  <si>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</si>
  <si>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</si>
  <si>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</si>
  <si>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</si>
  <si>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</si>
  <si>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</si>
  <si>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</si>
  <si>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</si>
  <si>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</si>
  <si>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</si>
  <si>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</si>
  <si>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</si>
  <si>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</si>
  <si>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</si>
  <si>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</si>
  <si>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</si>
  <si>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</si>
  <si>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</si>
  <si>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</si>
  <si>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</si>
  <si>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</si>
  <si>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</si>
  <si>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</si>
  <si>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</si>
  <si>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</si>
  <si>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outcome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</si>
  <si>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</si>
  <si>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</si>
  <si>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</si>
  <si>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</si>
  <si>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</si>
  <si>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</si>
  <si>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</si>
  <si>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</si>
  <si>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</si>
  <si>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</si>
  <si>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</si>
  <si>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</si>
  <si>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</si>
  <si>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</si>
  <si>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</si>
  <si>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</si>
  <si>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</si>
  <si>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</si>
  <si>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</si>
  <si>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</si>
  <si>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</si>
  <si>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</si>
  <si>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</si>
  <si>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</si>
  <si>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</si>
  <si>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</si>
  <si>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</si>
  <si>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</si>
  <si>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</si>
  <si>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</si>
  <si>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</si>
  <si>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</si>
  <si>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</si>
  <si>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</si>
  <si>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</si>
  <si>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</si>
  <si>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</si>
  <si>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</si>
  <si>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</si>
  <si>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</si>
  <si>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</si>
  <si>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</si>
  <si>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</si>
  <si>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</si>
  <si>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</si>
  <si>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</si>
  <si>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</si>
  <si>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</si>
  <si>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</si>
  <si>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</si>
  <si>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</si>
  <si>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</si>
  <si>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</si>
  <si>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</si>
  <si>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</si>
  <si>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</si>
  <si>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</si>
  <si>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</si>
  <si>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</si>
  <si>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</si>
  <si>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</si>
  <si>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</si>
  <si>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</si>
  <si>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</si>
  <si>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</si>
  <si>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</si>
  <si>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</si>
  <si>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</si>
  <si>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</si>
  <si>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</si>
  <si>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</si>
  <si>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</si>
  <si>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</si>
  <si>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</si>
  <si>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</si>
  <si>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</si>
  <si>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</si>
  <si>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average donation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</si>
  <si>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</si>
  <si>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</si>
  <si>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</si>
  <si>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</si>
  <si>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</si>
  <si>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</si>
  <si>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</si>
  <si>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Standart Deviation of Goal</t>
  </si>
  <si>
    <t>Upper Quartile of Goal</t>
  </si>
  <si>
    <t>Lower Quartile of Goal</t>
  </si>
  <si>
    <t>IQR of Goal</t>
  </si>
  <si>
    <t>Standart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</si>
  <si>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</si>
  <si>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</si>
  <si>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</si>
  <si>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</si>
  <si>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</si>
  <si>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</si>
  <si>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</si>
  <si>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</si>
  <si>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</si>
  <si>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</si>
  <si>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</si>
  <si>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</si>
  <si>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</si>
  <si>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</si>
  <si>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</si>
  <si>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</si>
  <si>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30000 to 34999</t>
  </si>
  <si>
    <t>35000 to 39999</t>
  </si>
  <si>
    <t>40000 to 44999</t>
  </si>
  <si>
    <t>45000 to 49999</t>
  </si>
  <si>
    <t>Greater than 50000</t>
  </si>
  <si>
    <t>Number of US Rock Campains</t>
  </si>
  <si>
    <t>1000 to 9999</t>
  </si>
  <si>
    <t>10000 to 99999</t>
  </si>
  <si>
    <t>Greater than 100000</t>
  </si>
  <si>
    <t>25000 to 29999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</si>
</sst>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165" fontId="0" fillId="0" borderId="0" xfId="0" applyNumberFormat="1"/>
    <xf numFmtId="0" fontId="1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5"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EEADA9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colors>
    <mruColors>
      <color rgb="FFEEADA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14-7E49-B533-0B4DA11F744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214-7E49-B533-0B4DA11F744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214-7E49-B533-0B4DA11F744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214-7E49-B533-0B4DA11F74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52692336"/>
        <c:axId val="1803135504"/>
      </c:barChart>
      <c:catAx>
        <c:axId val="1752692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3135504"/>
        <c:crosses val="autoZero"/>
        <c:auto val="1"/>
        <c:lblAlgn val="ctr"/>
        <c:lblOffset val="100"/>
        <c:noMultiLvlLbl val="0"/>
      </c:catAx>
      <c:valAx>
        <c:axId val="1803135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2692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56-E844-9196-5AEF633E056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F56-E844-9196-5AEF633E056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F56-E844-9196-5AEF633E05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90457824"/>
        <c:axId val="1721974032"/>
      </c:barChart>
      <c:catAx>
        <c:axId val="1890457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1974032"/>
        <c:crosses val="autoZero"/>
        <c:auto val="1"/>
        <c:lblAlgn val="ctr"/>
        <c:lblOffset val="100"/>
        <c:noMultiLvlLbl val="0"/>
      </c:catAx>
      <c:valAx>
        <c:axId val="1721974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0457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19-104E-82B5-F60836194DD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F19-104E-82B5-F60836194DD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F19-104E-82B5-F60836194DD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F19-104E-82B5-F60836194D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0207696"/>
        <c:axId val="1749330688"/>
      </c:lineChart>
      <c:catAx>
        <c:axId val="1890207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9330688"/>
        <c:crosses val="autoZero"/>
        <c:auto val="1"/>
        <c:lblAlgn val="ctr"/>
        <c:lblOffset val="100"/>
        <c:noMultiLvlLbl val="0"/>
      </c:catAx>
      <c:valAx>
        <c:axId val="174933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0207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tx1"/>
                </a:solidFill>
              </a:rPr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1750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1750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48-0349-A173-30E6B5D4685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48-0349-A173-30E6B5D4685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48-0349-A173-30E6B5D468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1106608"/>
        <c:axId val="1601170816"/>
      </c:lineChart>
      <c:catAx>
        <c:axId val="1601106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1170816"/>
        <c:crosses val="autoZero"/>
        <c:auto val="1"/>
        <c:lblAlgn val="ctr"/>
        <c:lblOffset val="100"/>
        <c:noMultiLvlLbl val="0"/>
      </c:catAx>
      <c:valAx>
        <c:axId val="160117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1106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CB-3C4D-A72F-221B4497FCDA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CB-3C4D-A72F-221B4497FCDA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FCB-3C4D-A72F-221B4497FC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9317344"/>
        <c:axId val="1528864320"/>
      </c:lineChart>
      <c:catAx>
        <c:axId val="1529317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8864320"/>
        <c:crosses val="autoZero"/>
        <c:auto val="1"/>
        <c:lblAlgn val="ctr"/>
        <c:lblOffset val="100"/>
        <c:noMultiLvlLbl val="0"/>
      </c:catAx>
      <c:valAx>
        <c:axId val="1528864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9317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139700</xdr:colOff>
      <xdr:row>1</xdr:row>
      <xdr:rowOff>177800</xdr:rowOff>
    </xdr:from>
    <xdr:to>
      <xdr:col>19</xdr:col>
      <xdr:colOff>508000</xdr:colOff>
      <xdr:row>39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211128-174A-FC40-B8C8-1609DA504D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355600</xdr:colOff>
      <xdr:row>3</xdr:row>
      <xdr:rowOff>88900</xdr:rowOff>
    </xdr:from>
    <xdr:to>
      <xdr:col>19</xdr:col>
      <xdr:colOff>622300</xdr:colOff>
      <xdr:row>47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12CDE6-06D5-AF4D-AA74-66707C7719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50800</xdr:colOff>
      <xdr:row>1</xdr:row>
      <xdr:rowOff>101600</xdr:rowOff>
    </xdr:from>
    <xdr:to>
      <xdr:col>21</xdr:col>
      <xdr:colOff>304800</xdr:colOff>
      <xdr:row>35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8C023F-2DA2-3746-808C-150C954885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508000</xdr:colOff>
      <xdr:row>2</xdr:row>
      <xdr:rowOff>76200</xdr:rowOff>
    </xdr:from>
    <xdr:to>
      <xdr:col>22</xdr:col>
      <xdr:colOff>0</xdr:colOff>
      <xdr:row>42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C5A215-6A67-E94B-843D-5D728C2ED6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50801</xdr:colOff>
      <xdr:row>13</xdr:row>
      <xdr:rowOff>135465</xdr:rowOff>
    </xdr:from>
    <xdr:to>
      <xdr:col>8</xdr:col>
      <xdr:colOff>618067</xdr:colOff>
      <xdr:row>36</xdr:row>
      <xdr:rowOff>126999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7EC133B-75B4-B64B-A642-03A758F2BD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Андрей" refreshedDate="44563.83022314815" createdVersion="7" refreshedVersion="7" minRefreshableVersion="3" recordCount="4114" xr:uid="{0DA7946B-E0D8-7646-B942-A7E06BD23DF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Андрей" refreshedDate="44563.891470601855" createdVersion="7" refreshedVersion="7" minRefreshableVersion="3" recordCount="4114" xr:uid="{8AE8E8FA-56F1-CD4D-8E3C-D35A97878DE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Андрей" refreshedDate="44564.596429861114" createdVersion="7" refreshedVersion="7" minRefreshableVersion="3" recordCount="4114" xr:uid="{75730C30-34B4-614C-B44F-1D23A648BCAF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D17275-1160-B247-B9B4-749995A737A5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E47D86-DF9C-5645-A95E-EBDCDB04AD23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9DB9DE-9689-7F4F-9EAC-05FF473F776C}" name="PivotTable6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1EADA7-5DE7-3140-9CB8-11C5C1E6ED04}" name="PivotTable8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5A9C6-3D0B-AC43-B990-7C92937F08BE}">
  <sheetPr codeName="Sheet1"/>
  <dimension ref="A1:F6"/>
  <sheetViews>
    <sheetView workbookViewId="0">
      <selection activeCell="D20" sqref="D20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8363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65FD8-DFF9-B647-BF64-63FE2BCE52D6}">
  <sheetPr codeName="Sheet2"/>
  <dimension ref="A1:E7"/>
  <sheetViews>
    <sheetView workbookViewId="0">
      <selection activeCell="F17" sqref="F17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8223</v>
      </c>
    </row>
    <row r="2" spans="1:5" x14ac:dyDescent="0.2">
      <c r="A2" s="11" t="s">
        <v>8358</v>
      </c>
      <c r="B2" t="s">
        <v>8364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2" t="s">
        <v>8316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2">
      <c r="A7" s="12" t="s">
        <v>8361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D8EFDE-2117-684A-84DA-B16632DB0FFB}">
  <sheetPr codeName="Sheet3"/>
  <dimension ref="A1:F18"/>
  <sheetViews>
    <sheetView workbookViewId="0">
      <selection activeCell="E29" sqref="E29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8358</v>
      </c>
      <c r="B1" t="s">
        <v>8315</v>
      </c>
    </row>
    <row r="2" spans="1:6" x14ac:dyDescent="0.2">
      <c r="A2" s="11" t="s">
        <v>8379</v>
      </c>
      <c r="B2" t="s">
        <v>8364</v>
      </c>
    </row>
    <row r="4" spans="1:6" x14ac:dyDescent="0.2">
      <c r="A4" s="11" t="s">
        <v>8363</v>
      </c>
      <c r="B4" s="11" t="s">
        <v>8360</v>
      </c>
    </row>
    <row r="5" spans="1:6" x14ac:dyDescent="0.2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6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6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6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6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6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6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6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6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6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6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6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6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6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20F35D-6AB8-DB43-AA60-FA3940759CD3}">
  <sheetPr codeName="Sheet4"/>
  <dimension ref="A1:F6"/>
  <sheetViews>
    <sheetView zoomScale="140" zoomScaleNormal="140" workbookViewId="0">
      <selection activeCell="B16" sqref="B16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3" max="3" width="14.6640625" customWidth="1"/>
    <col min="4" max="4" width="14.5" customWidth="1"/>
    <col min="5" max="5" width="14.1640625" bestFit="1" customWidth="1"/>
    <col min="6" max="6" width="15" bestFit="1" customWidth="1"/>
  </cols>
  <sheetData>
    <row r="1" spans="1:6" s="17" customFormat="1" x14ac:dyDescent="0.2">
      <c r="A1" s="1" t="s">
        <v>8380</v>
      </c>
      <c r="B1" s="1" t="s">
        <v>4110</v>
      </c>
      <c r="C1" s="1" t="s">
        <v>8381</v>
      </c>
      <c r="D1" s="1" t="s">
        <v>8382</v>
      </c>
      <c r="E1" s="1" t="s">
        <v>8383</v>
      </c>
      <c r="F1" s="1" t="s">
        <v>8384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16BDA4-A1F5-7447-9B89-41A458B0A0BB}">
  <sheetPr codeName="Sheet7"/>
  <dimension ref="A1:C14"/>
  <sheetViews>
    <sheetView zoomScale="170" zoomScaleNormal="170" workbookViewId="0">
      <selection activeCell="C15" sqref="C15"/>
    </sheetView>
  </sheetViews>
  <sheetFormatPr baseColWidth="10" defaultRowHeight="15" x14ac:dyDescent="0.2"/>
  <cols>
    <col min="1" max="1" width="23.83203125" bestFit="1" customWidth="1"/>
    <col min="2" max="2" width="8.83203125" bestFit="1" customWidth="1"/>
    <col min="3" max="3" width="8.6640625" bestFit="1" customWidth="1"/>
  </cols>
  <sheetData>
    <row r="1" spans="1:3" x14ac:dyDescent="0.2">
      <c r="B1" t="s">
        <v>8389</v>
      </c>
      <c r="C1" t="s">
        <v>8390</v>
      </c>
    </row>
    <row r="2" spans="1:3" x14ac:dyDescent="0.2">
      <c r="A2" t="s">
        <v>8385</v>
      </c>
      <c r="B2" s="18" t="e">
        <f>AVERAGE(#REF!)</f>
        <v>#REF!</v>
      </c>
      <c r="C2" s="18" t="e">
        <f>AVERAGE(#REF!)</f>
        <v>#REF!</v>
      </c>
    </row>
    <row r="3" spans="1:3" x14ac:dyDescent="0.2">
      <c r="A3" t="s">
        <v>8386</v>
      </c>
      <c r="B3" s="18" t="e">
        <f>MEDIAN(#REF!)</f>
        <v>#REF!</v>
      </c>
      <c r="C3" s="18" t="e">
        <f>MEDIAN(#REF!)</f>
        <v>#REF!</v>
      </c>
    </row>
    <row r="4" spans="1:3" x14ac:dyDescent="0.2">
      <c r="A4" t="s">
        <v>8391</v>
      </c>
      <c r="B4" s="18" t="e">
        <f>_xlfn.STDEV.P(#REF!)</f>
        <v>#REF!</v>
      </c>
      <c r="C4" s="18" t="e">
        <f>_xlfn.STDEV.P(#REF!)</f>
        <v>#REF!</v>
      </c>
    </row>
    <row r="5" spans="1:3" x14ac:dyDescent="0.2">
      <c r="A5" t="s">
        <v>8392</v>
      </c>
      <c r="B5" s="18" t="e">
        <f>_xlfn.QUARTILE.EXC(#REF!, 3)</f>
        <v>#REF!</v>
      </c>
      <c r="C5" s="18" t="e">
        <f>_xlfn.QUARTILE.EXC(#REF!, 3)</f>
        <v>#REF!</v>
      </c>
    </row>
    <row r="6" spans="1:3" x14ac:dyDescent="0.2">
      <c r="A6" t="s">
        <v>8393</v>
      </c>
      <c r="B6" s="18" t="e">
        <f>_xlfn.QUARTILE.EXC(#REF!, 1)</f>
        <v>#REF!</v>
      </c>
      <c r="C6" s="18" t="e">
        <f>_xlfn.QUARTILE.EXC(#REF!, 1)</f>
        <v>#REF!</v>
      </c>
    </row>
    <row r="7" spans="1:3" x14ac:dyDescent="0.2">
      <c r="A7" t="s">
        <v>8394</v>
      </c>
      <c r="B7" s="18" t="e">
        <f>B5-B6</f>
        <v>#REF!</v>
      </c>
      <c r="C7" s="18" t="e">
        <f>C5-C6</f>
        <v>#REF!</v>
      </c>
    </row>
    <row r="9" spans="1:3" x14ac:dyDescent="0.2">
      <c r="A9" t="s">
        <v>8387</v>
      </c>
      <c r="B9" s="18" t="e">
        <f>AVERAGE(#REF!)</f>
        <v>#REF!</v>
      </c>
      <c r="C9" s="18" t="e">
        <f>AVERAGE(#REF!)</f>
        <v>#REF!</v>
      </c>
    </row>
    <row r="10" spans="1:3" x14ac:dyDescent="0.2">
      <c r="A10" t="s">
        <v>8388</v>
      </c>
      <c r="B10" s="18" t="e">
        <f>MEDIAN(#REF!)</f>
        <v>#REF!</v>
      </c>
      <c r="C10" s="18" t="e">
        <f>MEDIAN(#REF!)</f>
        <v>#REF!</v>
      </c>
    </row>
    <row r="11" spans="1:3" x14ac:dyDescent="0.2">
      <c r="A11" t="s">
        <v>8395</v>
      </c>
      <c r="B11" s="18" t="e">
        <f>_xlfn.STDEV.P(#REF!)</f>
        <v>#REF!</v>
      </c>
      <c r="C11" s="18" t="e">
        <f>_xlfn.STDEV.P(#REF!)</f>
        <v>#REF!</v>
      </c>
    </row>
    <row r="12" spans="1:3" x14ac:dyDescent="0.2">
      <c r="A12" t="s">
        <v>8396</v>
      </c>
      <c r="B12" s="18" t="e">
        <f>_xlfn.QUARTILE.EXC(#REF!, 3)</f>
        <v>#REF!</v>
      </c>
      <c r="C12" s="18" t="e">
        <f>_xlfn.QUARTILE.EXC(#REF!, 3)</f>
        <v>#REF!</v>
      </c>
    </row>
    <row r="13" spans="1:3" x14ac:dyDescent="0.2">
      <c r="A13" t="s">
        <v>8397</v>
      </c>
      <c r="B13" s="18" t="e">
        <f>_xlfn.QUARTILE.EXC(#REF!, 1)</f>
        <v>#REF!</v>
      </c>
      <c r="C13" s="18" t="e">
        <f>_xlfn.QUARTILE.EXC(#REF!, 1)</f>
        <v>#REF!</v>
      </c>
    </row>
    <row r="14" spans="1:3" x14ac:dyDescent="0.2">
      <c r="A14" t="s">
        <v>8398</v>
      </c>
      <c r="B14" s="18" t="e">
        <f>B12-B13</f>
        <v>#REF!</v>
      </c>
      <c r="C14" s="18" t="e">
        <f>C12-C13</f>
        <v>#REF!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6BAD59-8563-4646-9D0C-51B8B8740759}">
  <sheetPr codeName="Sheet9"/>
  <dimension ref="A1:E18"/>
  <sheetViews>
    <sheetView tabSelected="1" workbookViewId="0">
      <selection activeCell="D25" sqref="D25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1" t="s">
        <v>8358</v>
      </c>
      <c r="B1" t="s">
        <v>8315</v>
      </c>
    </row>
    <row r="2" spans="1:5" x14ac:dyDescent="0.2">
      <c r="A2" s="11" t="s">
        <v>8379</v>
      </c>
      <c r="B2" t="s">
        <v>8364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6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6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6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6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6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6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6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6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6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6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6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6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6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F7FE7C-4B16-1945-93BB-CF3F9DC1652C}">
  <sheetPr codeName="Sheet10"/>
  <dimension ref="A1:H13"/>
  <sheetViews>
    <sheetView zoomScale="150" zoomScaleNormal="150" workbookViewId="0">
      <selection activeCell="I12" sqref="I12"/>
    </sheetView>
  </sheetViews>
  <sheetFormatPr baseColWidth="10" defaultRowHeight="15" x14ac:dyDescent="0.2"/>
  <cols>
    <col min="1" max="1" width="16.5" bestFit="1" customWidth="1"/>
    <col min="2" max="2" width="17.33203125" customWidth="1"/>
    <col min="3" max="3" width="13.6640625" customWidth="1"/>
    <col min="4" max="4" width="16.33203125" customWidth="1"/>
    <col min="5" max="5" width="12" customWidth="1"/>
    <col min="6" max="6" width="20.1640625" customWidth="1"/>
    <col min="7" max="7" width="16" customWidth="1"/>
    <col min="8" max="8" width="18.83203125" customWidth="1"/>
  </cols>
  <sheetData>
    <row r="1" spans="1:8" s="1" customFormat="1" x14ac:dyDescent="0.2">
      <c r="A1" s="1" t="s">
        <v>8381</v>
      </c>
      <c r="B1" s="1" t="s">
        <v>8399</v>
      </c>
      <c r="C1" s="1" t="s">
        <v>8400</v>
      </c>
      <c r="D1" s="1" t="s">
        <v>8401</v>
      </c>
      <c r="E1" s="1" t="s">
        <v>8402</v>
      </c>
      <c r="F1" s="1" t="s">
        <v>8403</v>
      </c>
      <c r="G1" s="1" t="s">
        <v>8404</v>
      </c>
      <c r="H1" s="1" t="s">
        <v>8405</v>
      </c>
    </row>
    <row r="2" spans="1:8" x14ac:dyDescent="0.2">
      <c r="A2" t="s">
        <v>8406</v>
      </c>
      <c r="B2">
        <f>COUNTIFS(Kickstarter!D:D, "&lt;1000", Kickstarter!F:F, "successful", Kickstarter!R:R, "plays")</f>
        <v>141</v>
      </c>
      <c r="C2">
        <f>COUNTIFS(Kickstarter!D:D, "&lt;1000", Kickstarter!F:F, "failed", Kickstarter!R:R, "plays")</f>
        <v>45</v>
      </c>
      <c r="D2">
        <f>COUNTIFS(Kickstarter!D:D, "&lt;1000", Kickstarter!F:F, "canceled", Kickstarter!R:R, "plays")</f>
        <v>0</v>
      </c>
      <c r="E2">
        <f>SUM(B2:D2)</f>
        <v>186</v>
      </c>
      <c r="F2" s="20">
        <f>B2/E2</f>
        <v>0.75806451612903225</v>
      </c>
      <c r="G2" s="20">
        <f>C2/E2</f>
        <v>0.24193548387096775</v>
      </c>
      <c r="H2" s="20">
        <f>D2/E2*100</f>
        <v>0</v>
      </c>
    </row>
    <row r="3" spans="1:8" x14ac:dyDescent="0.2">
      <c r="A3" t="s">
        <v>8407</v>
      </c>
      <c r="B3">
        <f>COUNTIFS(Kickstarter!D:D, "&gt;=1000", Kickstarter!F:F, "successful", Kickstarter!D:D, "&lt;=4999", Kickstarter!R:R, "plays")</f>
        <v>388</v>
      </c>
      <c r="C3">
        <f>COUNTIFS(Kickstarter!D:D, "&gt;=1000", Kickstarter!F:F, "failed", Kickstarter!D:D, "&lt;=4999", Kickstarter!R:R, "plays")</f>
        <v>146</v>
      </c>
      <c r="D3">
        <f>COUNTIFS(Kickstarter!D:D, "&gt;=1000", Kickstarter!F:F, "canceled", Kickstarter!D:D, "&lt;=4999", Kickstarter!R:R, "plays")</f>
        <v>0</v>
      </c>
      <c r="E3">
        <f t="shared" ref="E3:E13" si="0">SUM(B3:D3)</f>
        <v>534</v>
      </c>
      <c r="F3" s="20">
        <f t="shared" ref="F3:F13" si="1">B3/E3</f>
        <v>0.72659176029962547</v>
      </c>
      <c r="G3" s="20">
        <f t="shared" ref="G3:G13" si="2">C3/E3</f>
        <v>0.27340823970037453</v>
      </c>
      <c r="H3" s="20">
        <f t="shared" ref="H3:H13" si="3">D3/E3*100</f>
        <v>0</v>
      </c>
    </row>
    <row r="4" spans="1:8" x14ac:dyDescent="0.2">
      <c r="A4" t="s">
        <v>8408</v>
      </c>
      <c r="B4">
        <f>COUNTIFS(Kickstarter!D:D, "&gt;=5000", Kickstarter!F:F, "successful", Kickstarter!D:D, "&lt;=9999", Kickstarter!R:R, "plays")</f>
        <v>93</v>
      </c>
      <c r="C4">
        <f>COUNTIFS(Kickstarter!D:D, "&gt;=5000", Kickstarter!F:F, "failed", Kickstarter!D:D, "&lt;=9999", Kickstarter!R:R, "plays")</f>
        <v>76</v>
      </c>
      <c r="D4">
        <f>COUNTIFS(Kickstarter!D:D, "&gt;=5000", Kickstarter!F:F, "canceled", Kickstarter!D:D, "&lt;=9999", Kickstarter!R:R, "plays")</f>
        <v>0</v>
      </c>
      <c r="E4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20">
        <f t="shared" si="3"/>
        <v>0</v>
      </c>
    </row>
    <row r="5" spans="1:8" x14ac:dyDescent="0.2">
      <c r="A5" t="s">
        <v>8409</v>
      </c>
      <c r="B5">
        <f>COUNTIFS(Kickstarter!D:D, "&gt;=10000", Kickstarter!F:F, "successful", Kickstarter!D:D, "&lt;=14999", Kickstarter!R:R, "plays")</f>
        <v>39</v>
      </c>
      <c r="C5">
        <f>COUNTIFS(Kickstarter!D:D, "&gt;=10000", Kickstarter!F:F, "failed", Kickstarter!D:D, "&lt;=14999", Kickstarter!R:R, "plays")</f>
        <v>33</v>
      </c>
      <c r="D5">
        <f>COUNTIFS(Kickstarter!D:D, "&gt;=10000", Kickstarter!F:F, "canceled", Kickstarter!D:D, "&lt;=14999", Kickstarter!R:R, "plays")</f>
        <v>0</v>
      </c>
      <c r="E5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20">
        <f t="shared" si="3"/>
        <v>0</v>
      </c>
    </row>
    <row r="6" spans="1:8" x14ac:dyDescent="0.2">
      <c r="A6" t="s">
        <v>8410</v>
      </c>
      <c r="B6">
        <f>COUNTIFS(Kickstarter!D:D, "&gt;=15000", Kickstarter!F:F, "successful", Kickstarter!D:D, "&lt;=19999", Kickstarter!R:R, "plays")</f>
        <v>12</v>
      </c>
      <c r="C6">
        <f>COUNTIFS(Kickstarter!D:D, "&gt;=15000", Kickstarter!F:F, "failed", Kickstarter!D:D, "&lt;=19999", Kickstarter!R:R, "plays")</f>
        <v>12</v>
      </c>
      <c r="D6">
        <f>COUNTIFS(Kickstarter!D:D, "&gt;=15000", Kickstarter!F:F, "canceled", Kickstarter!D:D, "&lt;=19999", Kickstarter!R:R, "plays")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 s="20">
        <f t="shared" si="3"/>
        <v>0</v>
      </c>
    </row>
    <row r="7" spans="1:8" x14ac:dyDescent="0.2">
      <c r="A7" t="s">
        <v>8411</v>
      </c>
      <c r="B7">
        <f>COUNTIFS(Kickstarter!D:D, "&gt;=20000", Kickstarter!F:F, "successful", Kickstarter!D:D, "&lt;=24999", Kickstarter!R:R, "plays")</f>
        <v>9</v>
      </c>
      <c r="C7">
        <f>COUNTIFS(Kickstarter!D:D, "&gt;=20000", Kickstarter!F:F, "failed", Kickstarter!D:D, "&lt;=24999", Kickstarter!R:R, "plays")</f>
        <v>11</v>
      </c>
      <c r="D7">
        <f>COUNTIFS(Kickstarter!D:D, "&gt;=20000", Kickstarter!F:F, "canceled", Kickstarter!D:D, "&lt;=24999", Kickstarter!R:R, "plays")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f t="shared" si="3"/>
        <v>0</v>
      </c>
    </row>
    <row r="8" spans="1:8" x14ac:dyDescent="0.2">
      <c r="A8" t="s">
        <v>8421</v>
      </c>
      <c r="B8">
        <f>COUNTIFS(Kickstarter!D:D, "&gt;=25000", Kickstarter!F:F, "successful", Kickstarter!D:D, "&lt;=29999", Kickstarter!R:R, "plays")</f>
        <v>1</v>
      </c>
      <c r="C8">
        <f>COUNTIFS(Kickstarter!D:D, "&gt;=25000", Kickstarter!F:F, "failed", Kickstarter!D:D, "&lt;=29999", Kickstarter!R:R, "plays")</f>
        <v>4</v>
      </c>
      <c r="D8">
        <f>COUNTIFS(Kickstarter!D:D, "&gt;=25000", Kickstarter!F:F, "canceled", Kickstarter!D:D, "&lt;=29999", Kickstarter!R:R, "plays")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 s="20">
        <f t="shared" si="3"/>
        <v>0</v>
      </c>
    </row>
    <row r="9" spans="1:8" x14ac:dyDescent="0.2">
      <c r="A9" t="s">
        <v>8412</v>
      </c>
      <c r="B9">
        <f>COUNTIFS(Kickstarter!D:D, "&gt;=30000", Kickstarter!F:F, "successful", Kickstarter!D:D, "&lt;=34999", Kickstarter!R:R, "plays")</f>
        <v>3</v>
      </c>
      <c r="C9">
        <f>COUNTIFS(Kickstarter!D:D, "&gt;=30000", Kickstarter!F:F, "failed", Kickstarter!D:D, "&lt;=34999", Kickstarter!R:R, "plays")</f>
        <v>8</v>
      </c>
      <c r="D9">
        <f>COUNTIFS(Kickstarter!D:D, "&gt;=30000", Kickstarter!F:F, "canceled", Kickstarter!D:D, "&lt;=34999", Kickstarter!R:R, "plays")</f>
        <v>0</v>
      </c>
      <c r="E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 s="20">
        <f t="shared" si="3"/>
        <v>0</v>
      </c>
    </row>
    <row r="10" spans="1:8" x14ac:dyDescent="0.2">
      <c r="A10" t="s">
        <v>8413</v>
      </c>
      <c r="B10">
        <f>COUNTIFS(Kickstarter!D:D, "&gt;=35000", Kickstarter!F:F, "successful", Kickstarter!D:D, "&lt;=39999", Kickstarter!R:R, "plays")</f>
        <v>4</v>
      </c>
      <c r="C10">
        <f>COUNTIFS(Kickstarter!D:D, "&gt;=35000", Kickstarter!F:F, "failed", Kickstarter!D:D, "&lt;=39999", Kickstarter!R:R, "plays")</f>
        <v>2</v>
      </c>
      <c r="D10">
        <f>COUNTIFS(Kickstarter!D:D, "&gt;=35000", Kickstarter!F:F, "canceled", Kickstarter!D:D, "&lt;=39999", Kickstarter!R:R, "plays")</f>
        <v>0</v>
      </c>
      <c r="E10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 s="20">
        <f t="shared" si="3"/>
        <v>0</v>
      </c>
    </row>
    <row r="11" spans="1:8" x14ac:dyDescent="0.2">
      <c r="A11" t="s">
        <v>8414</v>
      </c>
      <c r="B11">
        <f>COUNTIFS(Kickstarter!D:D, "&gt;=40000", Kickstarter!F:F, "successful", Kickstarter!D:D, "&lt;=44999", Kickstarter!R:R, "plays")</f>
        <v>2</v>
      </c>
      <c r="C11">
        <f>COUNTIFS(Kickstarter!D:D, "&gt;=40000", Kickstarter!F:F, "failed", Kickstarter!D:D, "&lt;=44999", Kickstarter!R:R, "plays")</f>
        <v>1</v>
      </c>
      <c r="D11">
        <f>COUNTIFS(Kickstarter!D:D, "&gt;=40000", Kickstarter!F:F, "canceled", Kickstarter!D:D, "&lt;=44999", Kickstarter!R:R, "plays")</f>
        <v>0</v>
      </c>
      <c r="E11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 s="20">
        <f t="shared" si="3"/>
        <v>0</v>
      </c>
    </row>
    <row r="12" spans="1:8" x14ac:dyDescent="0.2">
      <c r="A12" t="s">
        <v>8415</v>
      </c>
      <c r="B12">
        <f>COUNTIFS(Kickstarter!D:D, "&gt;=45000", Kickstarter!F:F, "successful", Kickstarter!D:D, "&lt;=49999", Kickstarter!R:R, "plays")</f>
        <v>0</v>
      </c>
      <c r="C12">
        <f>COUNTIFS(Kickstarter!D:D, "&gt;=45000", Kickstarter!F:F, "failed", Kickstarter!D:D, "&lt;=49999", Kickstarter!R:R, "plays")</f>
        <v>1</v>
      </c>
      <c r="D12">
        <f>COUNTIFS(Kickstarter!D:D, "&gt;=45000", Kickstarter!F:F, "canceled", Kickstarter!D:D, "&lt;=49999", Kickstarter!R:R, "plays")</f>
        <v>0</v>
      </c>
      <c r="E12">
        <f t="shared" si="0"/>
        <v>1</v>
      </c>
      <c r="F12" s="20">
        <f t="shared" si="1"/>
        <v>0</v>
      </c>
      <c r="G12" s="20">
        <f t="shared" si="2"/>
        <v>1</v>
      </c>
      <c r="H12" s="20">
        <f t="shared" si="3"/>
        <v>0</v>
      </c>
    </row>
    <row r="13" spans="1:8" x14ac:dyDescent="0.2">
      <c r="A13" t="s">
        <v>8416</v>
      </c>
      <c r="B13">
        <f>COUNTIFS(Kickstarter!D:D, "&gt;=50000", Kickstarter!F:F, "successful", Kickstarter!R:R, "plays")</f>
        <v>2</v>
      </c>
      <c r="C13">
        <f>COUNTIFS(Kickstarter!D:D, "&gt;=50000", Kickstarter!F:F, "failed", Kickstarter!R:R, "plays")</f>
        <v>14</v>
      </c>
      <c r="D13">
        <f>COUNTIFS(Kickstarter!D:D, "&gt;=50000", Kickstarter!F:F, "canceled", Kickstarter!R:R, "plays")</f>
        <v>0</v>
      </c>
      <c r="E13">
        <f t="shared" si="0"/>
        <v>16</v>
      </c>
      <c r="F13" s="20">
        <f t="shared" si="1"/>
        <v>0.125</v>
      </c>
      <c r="G13" s="20">
        <f t="shared" si="2"/>
        <v>0.875</v>
      </c>
      <c r="H13" s="20">
        <f t="shared" si="3"/>
        <v>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72ACA2-232A-E847-9238-0713A33B34CF}">
  <sheetPr codeName="Sheet11"/>
  <dimension ref="A1:B7"/>
  <sheetViews>
    <sheetView zoomScale="150" zoomScaleNormal="150" workbookViewId="0">
      <selection activeCell="B2" sqref="B2"/>
    </sheetView>
  </sheetViews>
  <sheetFormatPr baseColWidth="10" defaultRowHeight="15" x14ac:dyDescent="0.2"/>
  <cols>
    <col min="1" max="1" width="17.5" bestFit="1" customWidth="1"/>
    <col min="2" max="2" width="25" customWidth="1"/>
  </cols>
  <sheetData>
    <row r="1" spans="1:2" s="19" customFormat="1" x14ac:dyDescent="0.2">
      <c r="A1" s="19" t="s">
        <v>8382</v>
      </c>
      <c r="B1" s="19" t="s">
        <v>8417</v>
      </c>
    </row>
    <row r="2" spans="1:2" x14ac:dyDescent="0.2">
      <c r="A2" t="s">
        <v>8406</v>
      </c>
      <c r="B2">
        <f>COUNTIFS(Kickstarter!E:E, "&lt;1000", Kickstarter!G:G, "US", Kickstarter!R:R, "rock")</f>
        <v>26</v>
      </c>
    </row>
    <row r="3" spans="1:2" x14ac:dyDescent="0.2">
      <c r="A3" t="s">
        <v>8418</v>
      </c>
      <c r="B3">
        <f>COUNTIFS(Kickstarter!E:E, "&gt;=1000", Kickstarter!G:G, "US", Kickstarter!E:E, "&lt;=9999", Kickstarter!R:R, "rock")</f>
        <v>165</v>
      </c>
    </row>
    <row r="4" spans="1:2" x14ac:dyDescent="0.2">
      <c r="A4" t="s">
        <v>8419</v>
      </c>
      <c r="B4">
        <f>COUNTIFS(Kickstarter!E:E, "&gt;=10000", Kickstarter!G:G, "US", Kickstarter!E:E, "&lt;=99999", Kickstarter!R:R, "rock")</f>
        <v>49</v>
      </c>
    </row>
    <row r="5" spans="1:2" x14ac:dyDescent="0.2">
      <c r="A5" t="s">
        <v>8420</v>
      </c>
      <c r="B5">
        <f>COUNTIFS(Kickstarter!E:E, "&gt;=100000", Kickstarter!G:G, "US", Kickstarter!R:R, "rock")</f>
        <v>0</v>
      </c>
    </row>
    <row r="6" spans="1:2" x14ac:dyDescent="0.2">
      <c r="B6">
        <f>SUM(B2:B5)</f>
        <v>240</v>
      </c>
    </row>
    <row r="7" spans="1:2" x14ac:dyDescent="0.2">
      <c r="B7">
        <f>COUNTIFS(Kickstarter!E:E, "&gt;0", Kickstarter!G:G, "US", Kickstarter!R:R, "rock")</f>
        <v>240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2"/>
  <dimension ref="A1:U4115"/>
  <sheetViews>
    <sheetView zoomScaleNormal="100" workbookViewId="0">
      <pane xSplit="1" ySplit="1" topLeftCell="E1450" activePane="bottomRight" state="frozen"/>
      <selection pane="topRight" activeCell="B1" sqref="B1"/>
      <selection pane="bottomLeft" activeCell="A2" sqref="A2"/>
      <selection pane="bottomRight" activeCell="F1453" sqref="F1453"/>
    </sheetView>
  </sheetViews>
  <sheetFormatPr baseColWidth="10" defaultColWidth="8.83203125" defaultRowHeight="15" x14ac:dyDescent="0.2"/>
  <cols>
    <col min="1" max="1" width="5.1640625" bestFit="1" customWidth="1"/>
    <col min="2" max="2" width="38.5" style="3" customWidth="1"/>
    <col min="3" max="3" width="40.33203125" style="3" customWidth="1"/>
    <col min="4" max="4" width="15.6640625" style="6" bestFit="1" customWidth="1"/>
    <col min="5" max="5" width="12.6640625" style="8" bestFit="1" customWidth="1"/>
    <col min="6" max="6" width="8.66406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5" bestFit="1" customWidth="1"/>
    <col min="12" max="12" width="12.33203125" bestFit="1" customWidth="1"/>
    <col min="13" max="13" width="8" bestFit="1" customWidth="1"/>
    <col min="14" max="14" width="24" bestFit="1" customWidth="1"/>
    <col min="15" max="15" width="16.33203125" bestFit="1" customWidth="1"/>
    <col min="16" max="16" width="15" bestFit="1" customWidth="1"/>
    <col min="17" max="17" width="13.33203125" bestFit="1" customWidth="1"/>
    <col min="18" max="18" width="14.5" bestFit="1" customWidth="1"/>
    <col min="19" max="19" width="20.5" style="15" bestFit="1" customWidth="1"/>
    <col min="20" max="20" width="19.1640625" style="15" bestFit="1" customWidth="1"/>
    <col min="21" max="21" width="13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  <c r="U1" s="14" t="s">
        <v>8379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0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0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0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0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0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0" t="s">
        <v>8315</v>
      </c>
      <c r="R3394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0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0" t="s">
        <v>8315</v>
      </c>
      <c r="R3522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0" t="s">
        <v>8315</v>
      </c>
      <c r="R3586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0" t="s">
        <v>8315</v>
      </c>
      <c r="R3650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0" t="s">
        <v>8315</v>
      </c>
      <c r="R3714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0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0" t="s">
        <v>8315</v>
      </c>
      <c r="R3842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0" t="s">
        <v>8315</v>
      </c>
      <c r="R3906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0" t="s">
        <v>8315</v>
      </c>
      <c r="R3970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0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0" t="s">
        <v>8315</v>
      </c>
      <c r="R4098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U4115" xr:uid="{00000000-0001-0000-0000-000000000000}"/>
  <conditionalFormatting sqref="F1:F1048576">
    <cfRule type="containsText" dxfId="4" priority="3" operator="containsText" text="canceled">
      <formula>NOT(ISERROR(SEARCH("canceled",F1)))</formula>
    </cfRule>
    <cfRule type="containsText" dxfId="3" priority="4" operator="containsText" text="failed">
      <formula>NOT(ISERROR(SEARCH("failed",F1)))</formula>
    </cfRule>
    <cfRule type="containsText" dxfId="2" priority="5" operator="containsText" text="failed">
      <formula>NOT(ISERROR(SEARCH("failed",F1)))</formula>
    </cfRule>
    <cfRule type="containsText" dxfId="1" priority="6" operator="containsText" text="successful">
      <formula>NOT(ISERROR(SEARCH("successful",F1)))</formula>
    </cfRule>
    <cfRule type="containsText" dxfId="0" priority="7" operator="containsText" text="live">
      <formula>NOT(ISERROR(SEARCH("live",F1)))</formula>
    </cfRule>
  </conditionalFormatting>
  <conditionalFormatting sqref="O1:O1048576 P1 R1:T1">
    <cfRule type="colorScale" priority="2">
      <colorScale>
        <cfvo type="min"/>
        <cfvo type="percentile" val="90"/>
        <color rgb="FFEEADA9"/>
        <color theme="4" tint="0.39997558519241921"/>
      </colorScale>
    </cfRule>
  </conditionalFormatting>
  <conditionalFormatting sqref="U1">
    <cfRule type="colorScale" priority="1">
      <colorScale>
        <cfvo type="min"/>
        <cfvo type="percentile" val="90"/>
        <color rgb="FFEEADA9"/>
        <color theme="4" tint="0.39997558519241921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Category Statistics</vt:lpstr>
      <vt:lpstr>Subcategory Statistics</vt:lpstr>
      <vt:lpstr>Outcomes Based on Launch Date</vt:lpstr>
      <vt:lpstr>Edinburgh Research</vt:lpstr>
      <vt:lpstr>Descriptive Statistics</vt:lpstr>
      <vt:lpstr>Theater Outcomes by Launch Date</vt:lpstr>
      <vt:lpstr>Outcomes Based on Goals</vt:lpstr>
      <vt:lpstr>Outcomes Based on Pledget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Андрей</cp:lastModifiedBy>
  <dcterms:created xsi:type="dcterms:W3CDTF">2017-04-20T15:17:24Z</dcterms:created>
  <dcterms:modified xsi:type="dcterms:W3CDTF">2022-01-10T07:34:30Z</dcterms:modified>
</cp:coreProperties>
</file>