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mankamdar/Desktop/Final bills Velavadar/"/>
    </mc:Choice>
  </mc:AlternateContent>
  <xr:revisionPtr revIDLastSave="0" documentId="13_ncr:1_{CFCF4C83-E26B-9E48-91D5-BE89CF3C4226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ummary" sheetId="1" r:id="rId1"/>
    <sheet name="Renovation all rooms" sheetId="2" r:id="rId2"/>
    <sheet name="Kitchen" sheetId="3" r:id="rId3"/>
    <sheet name="Old Spa" sheetId="4" r:id="rId4"/>
    <sheet name="New Spa" sheetId="5" r:id="rId5"/>
    <sheet name="China mosiac" sheetId="6" r:id="rId6"/>
    <sheet name="Pool" sheetId="7" r:id="rId7"/>
    <sheet name="Roofing" sheetId="8" r:id="rId8"/>
    <sheet name="Gym" sheetId="9" r:id="rId9"/>
    <sheet name="Misc work" sheetId="10" r:id="rId10"/>
  </sheets>
  <calcPr calcId="181029"/>
</workbook>
</file>

<file path=xl/calcChain.xml><?xml version="1.0" encoding="utf-8"?>
<calcChain xmlns="http://schemas.openxmlformats.org/spreadsheetml/2006/main">
  <c r="B18" i="8" l="1"/>
  <c r="B28" i="1"/>
  <c r="I164" i="10" l="1"/>
  <c r="I154" i="10"/>
  <c r="G152" i="10"/>
  <c r="G153" i="10" s="1"/>
  <c r="I153" i="10" s="1"/>
  <c r="I156" i="10" s="1"/>
  <c r="B12" i="1" s="1"/>
  <c r="G145" i="10"/>
  <c r="G146" i="10" s="1"/>
  <c r="I146" i="10" s="1"/>
  <c r="G143" i="10"/>
  <c r="G142" i="10"/>
  <c r="G141" i="10"/>
  <c r="G140" i="10"/>
  <c r="H139" i="10"/>
  <c r="H140" i="10" s="1"/>
  <c r="I140" i="10" s="1"/>
  <c r="G139" i="10"/>
  <c r="I138" i="10"/>
  <c r="I130" i="10"/>
  <c r="G130" i="10"/>
  <c r="G129" i="10"/>
  <c r="I129" i="10" s="1"/>
  <c r="I128" i="10"/>
  <c r="G128" i="10"/>
  <c r="G127" i="10"/>
  <c r="I127" i="10" s="1"/>
  <c r="I126" i="10"/>
  <c r="G126" i="10"/>
  <c r="G125" i="10"/>
  <c r="I125" i="10" s="1"/>
  <c r="I124" i="10"/>
  <c r="G124" i="10"/>
  <c r="G123" i="10"/>
  <c r="I123" i="10" s="1"/>
  <c r="I122" i="10"/>
  <c r="G122" i="10"/>
  <c r="G121" i="10"/>
  <c r="I121" i="10" s="1"/>
  <c r="I120" i="10"/>
  <c r="G120" i="10"/>
  <c r="G119" i="10"/>
  <c r="I119" i="10" s="1"/>
  <c r="I118" i="10"/>
  <c r="G118" i="10"/>
  <c r="G117" i="10"/>
  <c r="I117" i="10" s="1"/>
  <c r="I116" i="10"/>
  <c r="G116" i="10"/>
  <c r="G115" i="10"/>
  <c r="I115" i="10" s="1"/>
  <c r="I114" i="10"/>
  <c r="G114" i="10"/>
  <c r="G113" i="10"/>
  <c r="I113" i="10" s="1"/>
  <c r="I112" i="10"/>
  <c r="G112" i="10"/>
  <c r="G111" i="10"/>
  <c r="I111" i="10" s="1"/>
  <c r="I131" i="10" s="1"/>
  <c r="I110" i="10"/>
  <c r="G110" i="10"/>
  <c r="H104" i="10"/>
  <c r="I104" i="10" s="1"/>
  <c r="H103" i="10"/>
  <c r="G103" i="10"/>
  <c r="G101" i="10"/>
  <c r="H94" i="10"/>
  <c r="G94" i="10"/>
  <c r="G90" i="10"/>
  <c r="G91" i="10" s="1"/>
  <c r="I84" i="10"/>
  <c r="I83" i="10"/>
  <c r="H82" i="10"/>
  <c r="H81" i="10"/>
  <c r="I81" i="10" s="1"/>
  <c r="G80" i="10"/>
  <c r="G81" i="10" s="1"/>
  <c r="H74" i="10"/>
  <c r="I74" i="10" s="1"/>
  <c r="G72" i="10"/>
  <c r="G71" i="10"/>
  <c r="G70" i="10"/>
  <c r="G73" i="10" s="1"/>
  <c r="G69" i="10"/>
  <c r="G61" i="10"/>
  <c r="G60" i="10"/>
  <c r="G62" i="10" s="1"/>
  <c r="G59" i="10"/>
  <c r="G58" i="10"/>
  <c r="H52" i="10"/>
  <c r="H146" i="10" s="1"/>
  <c r="I51" i="10"/>
  <c r="I49" i="10"/>
  <c r="H49" i="10"/>
  <c r="G49" i="10"/>
  <c r="G47" i="10"/>
  <c r="I47" i="10" s="1"/>
  <c r="D47" i="10"/>
  <c r="C47" i="10"/>
  <c r="G46" i="10"/>
  <c r="G45" i="10"/>
  <c r="H44" i="10"/>
  <c r="H59" i="10" s="1"/>
  <c r="I59" i="10" s="1"/>
  <c r="G44" i="10"/>
  <c r="G41" i="10"/>
  <c r="G40" i="10"/>
  <c r="G39" i="10"/>
  <c r="G38" i="10"/>
  <c r="G42" i="10" s="1"/>
  <c r="G37" i="10"/>
  <c r="G36" i="10"/>
  <c r="G35" i="10"/>
  <c r="I29" i="10"/>
  <c r="I28" i="10"/>
  <c r="I27" i="10"/>
  <c r="I26" i="10"/>
  <c r="G26" i="10"/>
  <c r="H25" i="10"/>
  <c r="H50" i="10" s="1"/>
  <c r="G25" i="10"/>
  <c r="I24" i="10"/>
  <c r="H23" i="10"/>
  <c r="H46" i="10" s="1"/>
  <c r="I46" i="10" s="1"/>
  <c r="G23" i="10"/>
  <c r="H22" i="10"/>
  <c r="H45" i="10" s="1"/>
  <c r="G22" i="10"/>
  <c r="D21" i="10"/>
  <c r="G21" i="10" s="1"/>
  <c r="G19" i="10"/>
  <c r="G18" i="10"/>
  <c r="G20" i="10" s="1"/>
  <c r="G17" i="10"/>
  <c r="G16" i="10"/>
  <c r="H10" i="10"/>
  <c r="H21" i="10" s="1"/>
  <c r="G10" i="10"/>
  <c r="H9" i="10"/>
  <c r="H20" i="10" s="1"/>
  <c r="H42" i="10" s="1"/>
  <c r="H62" i="10" s="1"/>
  <c r="G8" i="10"/>
  <c r="G7" i="10"/>
  <c r="G6" i="10"/>
  <c r="G5" i="10"/>
  <c r="G9" i="10" s="1"/>
  <c r="I9" i="10" s="1"/>
  <c r="H4" i="10"/>
  <c r="H17" i="10" s="1"/>
  <c r="H36" i="10" s="1"/>
  <c r="G4" i="10"/>
  <c r="H3" i="10"/>
  <c r="H16" i="10" s="1"/>
  <c r="H35" i="10" s="1"/>
  <c r="H58" i="10" s="1"/>
  <c r="G3" i="10"/>
  <c r="I18" i="9"/>
  <c r="H17" i="9"/>
  <c r="I17" i="9" s="1"/>
  <c r="H16" i="9"/>
  <c r="I16" i="9" s="1"/>
  <c r="H9" i="9"/>
  <c r="G8" i="9"/>
  <c r="G7" i="9"/>
  <c r="G9" i="9" s="1"/>
  <c r="H6" i="9"/>
  <c r="G6" i="9"/>
  <c r="H5" i="9"/>
  <c r="I5" i="9" s="1"/>
  <c r="G5" i="9"/>
  <c r="H4" i="9"/>
  <c r="I4" i="9" s="1"/>
  <c r="G4" i="9"/>
  <c r="H3" i="9"/>
  <c r="G3" i="9"/>
  <c r="E19" i="8"/>
  <c r="D19" i="8"/>
  <c r="C19" i="8"/>
  <c r="B19" i="8"/>
  <c r="H15" i="9" s="1"/>
  <c r="I15" i="9" s="1"/>
  <c r="E18" i="8"/>
  <c r="D18" i="8"/>
  <c r="D20" i="8" s="1"/>
  <c r="B18" i="1" s="1"/>
  <c r="C18" i="8"/>
  <c r="C16" i="8"/>
  <c r="H11" i="7"/>
  <c r="I11" i="7" s="1"/>
  <c r="G11" i="7"/>
  <c r="H10" i="7"/>
  <c r="G9" i="7"/>
  <c r="G8" i="7"/>
  <c r="G10" i="7" s="1"/>
  <c r="H7" i="7"/>
  <c r="I7" i="7" s="1"/>
  <c r="G7" i="7"/>
  <c r="H6" i="7"/>
  <c r="I6" i="7" s="1"/>
  <c r="G6" i="7"/>
  <c r="C4" i="6"/>
  <c r="D4" i="6" s="1"/>
  <c r="C3" i="6"/>
  <c r="D3" i="6" s="1"/>
  <c r="K26" i="5"/>
  <c r="J26" i="5"/>
  <c r="H26" i="5"/>
  <c r="F26" i="5"/>
  <c r="L26" i="5" s="1"/>
  <c r="L25" i="5"/>
  <c r="K25" i="5"/>
  <c r="J25" i="5"/>
  <c r="H25" i="5"/>
  <c r="F25" i="5"/>
  <c r="K24" i="5"/>
  <c r="J24" i="5"/>
  <c r="H24" i="5"/>
  <c r="F24" i="5"/>
  <c r="L24" i="5" s="1"/>
  <c r="K23" i="5"/>
  <c r="J23" i="5"/>
  <c r="H23" i="5"/>
  <c r="F23" i="5"/>
  <c r="L23" i="5" s="1"/>
  <c r="K22" i="5"/>
  <c r="J22" i="5"/>
  <c r="H22" i="5"/>
  <c r="F22" i="5"/>
  <c r="L22" i="5" s="1"/>
  <c r="K21" i="5"/>
  <c r="J21" i="5"/>
  <c r="H21" i="5"/>
  <c r="F21" i="5"/>
  <c r="L21" i="5" s="1"/>
  <c r="K20" i="5"/>
  <c r="J20" i="5"/>
  <c r="H20" i="5"/>
  <c r="F20" i="5"/>
  <c r="L20" i="5" s="1"/>
  <c r="K19" i="5"/>
  <c r="J19" i="5"/>
  <c r="H19" i="5"/>
  <c r="F19" i="5"/>
  <c r="L19" i="5" s="1"/>
  <c r="K18" i="5"/>
  <c r="J18" i="5"/>
  <c r="H18" i="5"/>
  <c r="F18" i="5"/>
  <c r="K17" i="5"/>
  <c r="J17" i="5"/>
  <c r="H17" i="5"/>
  <c r="F17" i="5"/>
  <c r="K16" i="5"/>
  <c r="J16" i="5"/>
  <c r="H16" i="5"/>
  <c r="F16" i="5"/>
  <c r="K15" i="5"/>
  <c r="J15" i="5"/>
  <c r="H15" i="5"/>
  <c r="F15" i="5"/>
  <c r="K14" i="5"/>
  <c r="J14" i="5"/>
  <c r="H14" i="5"/>
  <c r="F14" i="5"/>
  <c r="L14" i="5" s="1"/>
  <c r="K13" i="5"/>
  <c r="D13" i="5"/>
  <c r="J13" i="5" s="1"/>
  <c r="K12" i="5"/>
  <c r="J12" i="5"/>
  <c r="H12" i="5"/>
  <c r="F12" i="5"/>
  <c r="L12" i="5" s="1"/>
  <c r="K11" i="5"/>
  <c r="D11" i="5"/>
  <c r="H11" i="5" s="1"/>
  <c r="K10" i="5"/>
  <c r="J10" i="5"/>
  <c r="H10" i="5"/>
  <c r="F10" i="5"/>
  <c r="L10" i="5" s="1"/>
  <c r="K9" i="5"/>
  <c r="D9" i="5"/>
  <c r="F9" i="5" s="1"/>
  <c r="K8" i="5"/>
  <c r="D8" i="5"/>
  <c r="J8" i="5" s="1"/>
  <c r="K7" i="5"/>
  <c r="D7" i="5"/>
  <c r="F7" i="5" s="1"/>
  <c r="K6" i="5"/>
  <c r="J6" i="5"/>
  <c r="H6" i="5"/>
  <c r="F6" i="5"/>
  <c r="L6" i="5" s="1"/>
  <c r="E5" i="5"/>
  <c r="K5" i="5" s="1"/>
  <c r="D5" i="5"/>
  <c r="J5" i="5" s="1"/>
  <c r="J4" i="5"/>
  <c r="H4" i="5"/>
  <c r="E4" i="5"/>
  <c r="F4" i="5" s="1"/>
  <c r="L4" i="5" s="1"/>
  <c r="K3" i="5"/>
  <c r="J3" i="5"/>
  <c r="H3" i="5"/>
  <c r="F3" i="5"/>
  <c r="L3" i="5" s="1"/>
  <c r="K2" i="5"/>
  <c r="E2" i="5"/>
  <c r="D2" i="5"/>
  <c r="H2" i="5" s="1"/>
  <c r="F21" i="4"/>
  <c r="F20" i="4"/>
  <c r="F19" i="4"/>
  <c r="F18" i="4"/>
  <c r="F17" i="4"/>
  <c r="F16" i="4"/>
  <c r="D15" i="4"/>
  <c r="F15" i="4" s="1"/>
  <c r="F14" i="4"/>
  <c r="F13" i="4"/>
  <c r="D12" i="4"/>
  <c r="F12" i="4" s="1"/>
  <c r="F11" i="4"/>
  <c r="F10" i="4"/>
  <c r="E10" i="4"/>
  <c r="D9" i="4"/>
  <c r="F9" i="4" s="1"/>
  <c r="D8" i="4"/>
  <c r="F8" i="4" s="1"/>
  <c r="D7" i="4"/>
  <c r="F7" i="4" s="1"/>
  <c r="D5" i="4"/>
  <c r="F5" i="4" s="1"/>
  <c r="F4" i="4"/>
  <c r="F3" i="4"/>
  <c r="E2" i="4"/>
  <c r="D2" i="4"/>
  <c r="H47" i="3"/>
  <c r="H46" i="3"/>
  <c r="G45" i="3"/>
  <c r="H44" i="3"/>
  <c r="I44" i="3" s="1"/>
  <c r="G42" i="3"/>
  <c r="I41" i="3"/>
  <c r="H40" i="3"/>
  <c r="I40" i="3" s="1"/>
  <c r="H39" i="3"/>
  <c r="G38" i="3"/>
  <c r="G36" i="3"/>
  <c r="G37" i="3" s="1"/>
  <c r="G39" i="3" s="1"/>
  <c r="H35" i="3"/>
  <c r="I35" i="3" s="1"/>
  <c r="I34" i="3"/>
  <c r="G33" i="3"/>
  <c r="G32" i="3" s="1"/>
  <c r="H32" i="3"/>
  <c r="H31" i="3"/>
  <c r="I31" i="3" s="1"/>
  <c r="G31" i="3"/>
  <c r="H30" i="3"/>
  <c r="I30" i="3" s="1"/>
  <c r="H29" i="3"/>
  <c r="G29" i="3"/>
  <c r="H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8" i="3" s="1"/>
  <c r="G3" i="3"/>
  <c r="G2" i="3"/>
  <c r="C16" i="2"/>
  <c r="C17" i="2" s="1"/>
  <c r="B27" i="1" s="1"/>
  <c r="A22" i="1"/>
  <c r="A21" i="1"/>
  <c r="B20" i="1"/>
  <c r="A19" i="1"/>
  <c r="A18" i="1"/>
  <c r="A17" i="1"/>
  <c r="A16" i="1"/>
  <c r="A15" i="1"/>
  <c r="A14" i="1"/>
  <c r="B13" i="1"/>
  <c r="A13" i="1"/>
  <c r="A12" i="1"/>
  <c r="A11" i="1"/>
  <c r="B10" i="1"/>
  <c r="A10" i="1"/>
  <c r="A9" i="1"/>
  <c r="A8" i="1"/>
  <c r="A7" i="1"/>
  <c r="A6" i="1"/>
  <c r="A5" i="1"/>
  <c r="A4" i="1"/>
  <c r="A3" i="1"/>
  <c r="A2" i="1"/>
  <c r="J11" i="5" l="1"/>
  <c r="I9" i="9"/>
  <c r="L18" i="5"/>
  <c r="L17" i="5"/>
  <c r="L16" i="5"/>
  <c r="B26" i="1" s="1"/>
  <c r="I3" i="10"/>
  <c r="I103" i="10"/>
  <c r="I52" i="10"/>
  <c r="B20" i="8"/>
  <c r="B16" i="1" s="1"/>
  <c r="C20" i="8"/>
  <c r="B17" i="1" s="1"/>
  <c r="H43" i="10"/>
  <c r="H63" i="10" s="1"/>
  <c r="I63" i="10" s="1"/>
  <c r="I10" i="10"/>
  <c r="H91" i="10"/>
  <c r="I91" i="10" s="1"/>
  <c r="I28" i="3"/>
  <c r="E20" i="8"/>
  <c r="B19" i="1" s="1"/>
  <c r="I25" i="10"/>
  <c r="I32" i="3"/>
  <c r="I39" i="3"/>
  <c r="F5" i="5"/>
  <c r="J9" i="5"/>
  <c r="I19" i="9"/>
  <c r="B15" i="1" s="1"/>
  <c r="F2" i="5"/>
  <c r="H5" i="5"/>
  <c r="I10" i="7"/>
  <c r="I12" i="7" s="1"/>
  <c r="B21" i="1" s="1"/>
  <c r="I6" i="9"/>
  <c r="I23" i="10"/>
  <c r="F2" i="4"/>
  <c r="F23" i="4" s="1"/>
  <c r="B24" i="1" s="1"/>
  <c r="I20" i="10"/>
  <c r="J2" i="5"/>
  <c r="I21" i="10"/>
  <c r="I42" i="10"/>
  <c r="I44" i="10"/>
  <c r="I45" i="10"/>
  <c r="I16" i="10"/>
  <c r="F11" i="5"/>
  <c r="L11" i="5" s="1"/>
  <c r="I3" i="9"/>
  <c r="I22" i="10"/>
  <c r="I35" i="10"/>
  <c r="I94" i="10"/>
  <c r="I50" i="10"/>
  <c r="H101" i="10"/>
  <c r="I101" i="10" s="1"/>
  <c r="H69" i="10"/>
  <c r="I58" i="10"/>
  <c r="H73" i="10"/>
  <c r="I73" i="10" s="1"/>
  <c r="I62" i="10"/>
  <c r="K4" i="5"/>
  <c r="G47" i="3"/>
  <c r="I47" i="3" s="1"/>
  <c r="I45" i="3"/>
  <c r="I145" i="10"/>
  <c r="I33" i="3"/>
  <c r="G46" i="3"/>
  <c r="I46" i="3" s="1"/>
  <c r="H13" i="5"/>
  <c r="H92" i="10"/>
  <c r="I92" i="10" s="1"/>
  <c r="I82" i="10"/>
  <c r="I85" i="10" s="1"/>
  <c r="B7" i="1" s="1"/>
  <c r="I139" i="10"/>
  <c r="I147" i="10" s="1"/>
  <c r="B11" i="1" s="1"/>
  <c r="F13" i="5"/>
  <c r="I17" i="10"/>
  <c r="I36" i="10"/>
  <c r="H7" i="5"/>
  <c r="F8" i="5"/>
  <c r="L15" i="5"/>
  <c r="I29" i="3"/>
  <c r="J7" i="5"/>
  <c r="H8" i="5"/>
  <c r="H9" i="5"/>
  <c r="D5" i="6"/>
  <c r="B22" i="1" s="1"/>
  <c r="I4" i="10"/>
  <c r="I69" i="10"/>
  <c r="G102" i="10"/>
  <c r="I102" i="10" s="1"/>
  <c r="I11" i="10" l="1"/>
  <c r="B2" i="1" s="1"/>
  <c r="I105" i="10"/>
  <c r="B9" i="1" s="1"/>
  <c r="L2" i="5"/>
  <c r="I43" i="10"/>
  <c r="I53" i="10" s="1"/>
  <c r="B4" i="1" s="1"/>
  <c r="I10" i="9"/>
  <c r="B14" i="1" s="1"/>
  <c r="I95" i="10"/>
  <c r="B8" i="1" s="1"/>
  <c r="L5" i="5"/>
  <c r="L7" i="5"/>
  <c r="L9" i="5"/>
  <c r="I30" i="10"/>
  <c r="B3" i="1" s="1"/>
  <c r="I49" i="3"/>
  <c r="B23" i="1" s="1"/>
  <c r="J28" i="5"/>
  <c r="L8" i="5"/>
  <c r="L13" i="5"/>
  <c r="I64" i="10"/>
  <c r="B5" i="1" s="1"/>
  <c r="H28" i="5"/>
  <c r="F28" i="5"/>
  <c r="I75" i="10"/>
  <c r="B6" i="1" s="1"/>
  <c r="L28" i="5" l="1"/>
  <c r="B25" i="1" s="1"/>
  <c r="B32" i="1" s="1"/>
</calcChain>
</file>

<file path=xl/sharedStrings.xml><?xml version="1.0" encoding="utf-8"?>
<sst xmlns="http://schemas.openxmlformats.org/spreadsheetml/2006/main" count="582" uniqueCount="182">
  <si>
    <t>Item</t>
  </si>
  <si>
    <t>Cost</t>
  </si>
  <si>
    <t>Unit rates</t>
  </si>
  <si>
    <t>Unit</t>
  </si>
  <si>
    <t>Rate</t>
  </si>
  <si>
    <t>Masonry</t>
  </si>
  <si>
    <t>cum</t>
  </si>
  <si>
    <t>Single mala plaster</t>
  </si>
  <si>
    <t>sqft</t>
  </si>
  <si>
    <t>Double coat plaster</t>
  </si>
  <si>
    <t>Slab casting</t>
  </si>
  <si>
    <t>Steel</t>
  </si>
  <si>
    <t>kg</t>
  </si>
  <si>
    <t>Wall tiles</t>
  </si>
  <si>
    <t>sq ft</t>
  </si>
  <si>
    <t>Kota</t>
  </si>
  <si>
    <t>Green marble</t>
  </si>
  <si>
    <t>Fabrication</t>
  </si>
  <si>
    <t>Damar sheet</t>
  </si>
  <si>
    <t>Patra</t>
  </si>
  <si>
    <t>Manglorian tiles (labour)</t>
  </si>
  <si>
    <t>Manglorian tiles (with material)</t>
  </si>
  <si>
    <t>Water proofing</t>
  </si>
  <si>
    <t>Swimming pool</t>
  </si>
  <si>
    <t>Excavation</t>
  </si>
  <si>
    <t>Backfilling</t>
  </si>
  <si>
    <t>PCC</t>
  </si>
  <si>
    <t>Kitchen</t>
  </si>
  <si>
    <t>Grade slab</t>
  </si>
  <si>
    <t>Spa old</t>
  </si>
  <si>
    <t>Spa new</t>
  </si>
  <si>
    <t>UGWT, Septic tank, Soakpit</t>
  </si>
  <si>
    <t>Renovation - all rooms</t>
  </si>
  <si>
    <t>Plumbing + Random outside all rooms</t>
  </si>
  <si>
    <t>Plumbing material for kitchen</t>
  </si>
  <si>
    <t>Electric material for kitchen</t>
  </si>
  <si>
    <t>Electric labour for kitchen</t>
  </si>
  <si>
    <t>Room 1</t>
  </si>
  <si>
    <t>Otta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</si>
  <si>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</si>
  <si>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</si>
  <si>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</si>
  <si>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</si>
  <si>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</si>
  <si>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</si>
  <si>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</si>
  <si>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</si>
  <si>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</si>
  <si>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</si>
  <si>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</si>
  <si>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</si>
  <si>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</si>
  <si>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Dining</t>
  </si>
  <si>
    <t>Reception</t>
  </si>
  <si>
    <t>Typical work</t>
  </si>
  <si>
    <t>Vata</t>
  </si>
  <si>
    <t>Ghasai</t>
  </si>
  <si>
    <t>No.</t>
  </si>
  <si>
    <t>L</t>
  </si>
  <si>
    <t>B</t>
  </si>
  <si>
    <t>H</t>
  </si>
  <si>
    <t>Measurement</t>
  </si>
  <si>
    <t>Total</t>
  </si>
  <si>
    <t>Brickwork</t>
  </si>
  <si>
    <t>Casting</t>
  </si>
  <si>
    <t>Shuttering</t>
  </si>
  <si>
    <t>Rebaring</t>
  </si>
  <si>
    <t xml:space="preserve">sq m </t>
  </si>
  <si>
    <t>Deduction</t>
  </si>
  <si>
    <t>Moulding</t>
  </si>
  <si>
    <t>r ft</t>
  </si>
  <si>
    <t>Girder plate</t>
  </si>
  <si>
    <t>Fabrication labour</t>
  </si>
  <si>
    <t>Kitchen shed</t>
  </si>
  <si>
    <t>Manglorian tiles</t>
  </si>
  <si>
    <t>Breaking and cleaning</t>
  </si>
  <si>
    <t>Sr. No.</t>
  </si>
  <si>
    <t>Description of Work</t>
  </si>
  <si>
    <t>Final Rate</t>
  </si>
  <si>
    <t>RA 01</t>
  </si>
  <si>
    <t>Amount Ra-01</t>
  </si>
  <si>
    <t>Fabrication structure</t>
  </si>
  <si>
    <t>Kg</t>
  </si>
  <si>
    <t>Cement sheet</t>
  </si>
  <si>
    <t>Sq Ft</t>
  </si>
  <si>
    <t>Tar Sheet (2mm)</t>
  </si>
  <si>
    <t>Manglorian Tiles</t>
  </si>
  <si>
    <t>RCC Slab</t>
  </si>
  <si>
    <t>Lumpsum</t>
  </si>
  <si>
    <t>Cu Ft</t>
  </si>
  <si>
    <t>Double coat sand faced plaster</t>
  </si>
  <si>
    <t>Colour</t>
  </si>
  <si>
    <t>Flooring (Kota Rough Finish) (2'x2' kota)</t>
  </si>
  <si>
    <t>Green Kesariya</t>
  </si>
  <si>
    <t>Sq ft</t>
  </si>
  <si>
    <t>Rft</t>
  </si>
  <si>
    <t>Electric (MK Switches and RR Kabel)</t>
  </si>
  <si>
    <t>Waterproofing (brickbed + chinamosiac)</t>
  </si>
  <si>
    <t>Plumbing (Astral/Prince) - 10kg pipe</t>
  </si>
  <si>
    <t>Plumbing (Astral/Prince) - 6kg pipe</t>
  </si>
  <si>
    <t>Glade slab breaking and recasting</t>
  </si>
  <si>
    <t>R.m.</t>
  </si>
  <si>
    <t>Beams casting (100mmx300mm)</t>
  </si>
  <si>
    <t>R.ft.</t>
  </si>
  <si>
    <t>Beams casting (230mmx300mm)</t>
  </si>
  <si>
    <t>Beams casting (300mmx450mm)</t>
  </si>
  <si>
    <t>Grand Total ( Payable Amount )</t>
  </si>
  <si>
    <t>RA 02</t>
  </si>
  <si>
    <t>Amount Ra-02</t>
  </si>
  <si>
    <t>RA 03</t>
  </si>
  <si>
    <t>Amount Ra-03</t>
  </si>
  <si>
    <t>Total Qty</t>
  </si>
  <si>
    <t>Total Amount</t>
  </si>
  <si>
    <t>UGWT tank</t>
  </si>
  <si>
    <t>Septic tank</t>
  </si>
  <si>
    <t>Soak pit</t>
  </si>
  <si>
    <t>Stone wall (material)</t>
  </si>
  <si>
    <t>Tonnes</t>
  </si>
  <si>
    <t>Stone wall (labour)</t>
  </si>
  <si>
    <t>Excavation (upto 2m)</t>
  </si>
  <si>
    <t>Cu.Ft.</t>
  </si>
  <si>
    <t>Backfilling excavated earth (with disposal within 100m from site location)</t>
  </si>
  <si>
    <t>China Mosiac</t>
  </si>
  <si>
    <t>Area</t>
  </si>
  <si>
    <t>Store</t>
  </si>
  <si>
    <t>Lumpsum agreed</t>
  </si>
  <si>
    <t>Heat pump</t>
  </si>
  <si>
    <t>Number</t>
  </si>
  <si>
    <t>Total cost</t>
  </si>
  <si>
    <t>Slab</t>
  </si>
  <si>
    <t>Plaster</t>
  </si>
  <si>
    <t>sq m</t>
  </si>
  <si>
    <t>Electrical pipes</t>
  </si>
  <si>
    <t>Manglorian tiles (without material)</t>
  </si>
  <si>
    <t>Manglorian tiles (only material)</t>
  </si>
  <si>
    <t>Gym</t>
  </si>
  <si>
    <t>Filling</t>
  </si>
  <si>
    <t>Tent Roof</t>
  </si>
  <si>
    <t>Fabrication steel</t>
  </si>
  <si>
    <t>Cutting</t>
  </si>
  <si>
    <t>3 days 3 labour</t>
  </si>
  <si>
    <t>GEB Otla</t>
  </si>
  <si>
    <t>Volume (cum)</t>
  </si>
  <si>
    <t>STP Otla</t>
  </si>
  <si>
    <t>lumpsum</t>
  </si>
  <si>
    <t>2 days 4 karigar</t>
  </si>
  <si>
    <t>Cement bags</t>
  </si>
  <si>
    <t>bags</t>
  </si>
  <si>
    <t>Bricks</t>
  </si>
  <si>
    <t>numbers</t>
  </si>
  <si>
    <t>Reti</t>
  </si>
  <si>
    <t>T</t>
  </si>
  <si>
    <t>DG Otla</t>
  </si>
  <si>
    <t>Random</t>
  </si>
  <si>
    <t>Made from wastage</t>
  </si>
  <si>
    <t>Tank near Kitchen</t>
  </si>
  <si>
    <t>Wall near kitchen</t>
  </si>
  <si>
    <t>Bridge &amp; Tent</t>
  </si>
  <si>
    <t>Cleaning and breaking</t>
  </si>
  <si>
    <t>Tent kota</t>
  </si>
  <si>
    <t>2 mistry 4 labour</t>
  </si>
  <si>
    <t>Electric jari filling</t>
  </si>
  <si>
    <t>1 mistry 2 labour</t>
  </si>
  <si>
    <t>Dining entrance</t>
  </si>
  <si>
    <t>Dining top fabrication</t>
  </si>
  <si>
    <t>Random flooring</t>
  </si>
  <si>
    <t>50% kota material used for reception was by client. But cement sand was provided by HSP. Hence we charge 60% of total billing for reception work.</t>
  </si>
  <si>
    <t>Staff quarters bathroom</t>
  </si>
  <si>
    <t>6 days 1 labour</t>
  </si>
  <si>
    <t>Bottom flooring</t>
  </si>
  <si>
    <t>Frame</t>
  </si>
  <si>
    <t>Table top</t>
  </si>
  <si>
    <t>Hari plumber</t>
  </si>
  <si>
    <t>Chamber</t>
  </si>
  <si>
    <t>Cement</t>
  </si>
  <si>
    <t>Pipes for Room 4,5,6</t>
  </si>
  <si>
    <t>Yet to be added</t>
  </si>
  <si>
    <t>Room 10 Overflow channel repairing</t>
  </si>
  <si>
    <t>Material bill</t>
  </si>
  <si>
    <t>Bond tide</t>
  </si>
  <si>
    <t>Labour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</si>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</sst>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name val="Calibri"/>
      <scheme val="minor"/>
    </font>
    <font>
      <sz val="12"/>
      <name val="Calibri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Times New Roman"/>
      <family val="1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3" fontId="1" fillId="0" borderId="1" xfId="0" applyNumberFormat="1" applyFont="1" applyBorder="1" applyAlignment="1">
      <alignment horizontal="center"/>
    </xf>
    <xf numFmtId="43" fontId="1" fillId="0" borderId="0" xfId="0" applyNumberFormat="1" applyFont="1" applyAlignment="1">
      <alignment horizontal="center"/>
    </xf>
    <xf numFmtId="43" fontId="1" fillId="0" borderId="1" xfId="0" applyNumberFormat="1" applyFont="1" applyBorder="1"/>
    <xf numFmtId="43" fontId="1" fillId="0" borderId="0" xfId="0" applyNumberFormat="1" applyFont="1"/>
    <xf numFmtId="43" fontId="1" fillId="2" borderId="1" xfId="0" applyNumberFormat="1" applyFont="1" applyFill="1" applyBorder="1"/>
    <xf numFmtId="43" fontId="1" fillId="0" borderId="2" xfId="0" applyNumberFormat="1" applyFont="1" applyBorder="1"/>
    <xf numFmtId="43" fontId="2" fillId="0" borderId="3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43" fontId="2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 applyAlignment="1">
      <alignment horizontal="center"/>
    </xf>
    <xf numFmtId="43" fontId="3" fillId="4" borderId="1" xfId="0" applyNumberFormat="1" applyFont="1" applyFill="1" applyBorder="1" applyAlignment="1">
      <alignment horizontal="right" vertical="center"/>
    </xf>
    <xf numFmtId="43" fontId="3" fillId="0" borderId="1" xfId="0" applyNumberFormat="1" applyFont="1" applyBorder="1" applyAlignment="1">
      <alignment horizontal="right" vertical="center"/>
    </xf>
    <xf numFmtId="43" fontId="4" fillId="0" borderId="1" xfId="0" applyNumberFormat="1" applyFont="1" applyBorder="1"/>
    <xf numFmtId="43" fontId="3" fillId="0" borderId="3" xfId="0" applyNumberFormat="1" applyFont="1" applyBorder="1" applyAlignment="1">
      <alignment horizontal="center"/>
    </xf>
    <xf numFmtId="43" fontId="3" fillId="0" borderId="1" xfId="0" applyNumberFormat="1" applyFont="1" applyBorder="1"/>
    <xf numFmtId="43" fontId="3" fillId="4" borderId="1" xfId="0" applyNumberFormat="1" applyFont="1" applyFill="1" applyBorder="1"/>
    <xf numFmtId="43" fontId="3" fillId="0" borderId="4" xfId="0" applyNumberFormat="1" applyFont="1" applyBorder="1" applyAlignment="1">
      <alignment horizontal="center"/>
    </xf>
    <xf numFmtId="43" fontId="3" fillId="0" borderId="5" xfId="0" applyNumberFormat="1" applyFont="1" applyBorder="1" applyAlignment="1">
      <alignment horizontal="center"/>
    </xf>
    <xf numFmtId="43" fontId="3" fillId="0" borderId="5" xfId="0" applyNumberFormat="1" applyFont="1" applyBorder="1"/>
    <xf numFmtId="43" fontId="2" fillId="0" borderId="5" xfId="0" applyNumberFormat="1" applyFont="1" applyBorder="1"/>
    <xf numFmtId="0" fontId="1" fillId="0" borderId="1" xfId="0" applyFont="1" applyBorder="1"/>
    <xf numFmtId="43" fontId="1" fillId="2" borderId="17" xfId="0" applyNumberFormat="1" applyFont="1" applyFill="1" applyBorder="1"/>
    <xf numFmtId="43" fontId="1" fillId="0" borderId="6" xfId="0" applyNumberFormat="1" applyFont="1" applyBorder="1"/>
    <xf numFmtId="43" fontId="1" fillId="0" borderId="18" xfId="0" applyNumberFormat="1" applyFont="1" applyBorder="1"/>
    <xf numFmtId="43" fontId="1" fillId="0" borderId="18" xfId="0" applyNumberFormat="1" applyFont="1" applyFill="1" applyBorder="1"/>
    <xf numFmtId="43" fontId="1" fillId="0" borderId="6" xfId="0" applyNumberFormat="1" applyFont="1" applyBorder="1" applyAlignment="1">
      <alignment horizontal="center"/>
    </xf>
    <xf numFmtId="43" fontId="1" fillId="0" borderId="1" xfId="0" applyNumberFormat="1" applyFont="1" applyFill="1" applyBorder="1"/>
    <xf numFmtId="0" fontId="1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1" fillId="0" borderId="6" xfId="0" applyNumberFormat="1" applyFont="1" applyBorder="1" applyAlignment="1">
      <alignment horizontal="center"/>
    </xf>
    <xf numFmtId="43" fontId="1" fillId="0" borderId="9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2" xfId="0" applyFont="1" applyBorder="1"/>
    <xf numFmtId="43" fontId="1" fillId="0" borderId="11" xfId="0" applyNumberFormat="1" applyFont="1" applyBorder="1" applyAlignment="1">
      <alignment horizontal="left" wrapText="1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43" fontId="1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F14" sqref="F14"/>
    </sheetView>
  </sheetViews>
  <sheetFormatPr baseColWidth="10" defaultColWidth="12.6640625" defaultRowHeight="15" customHeight="1"/>
  <cols>
    <col min="1" max="1" width="33.1640625" customWidth="1"/>
    <col min="2" max="2" width="15.1640625" customWidth="1"/>
    <col min="3" max="3" width="10.83203125" customWidth="1"/>
    <col min="4" max="4" width="29.33203125" customWidth="1"/>
    <col min="5" max="5" width="6.1640625" customWidth="1"/>
    <col min="6" max="6" width="9.5" customWidth="1"/>
  </cols>
  <sheetData>
    <row r="1" spans="1:6" ht="15.75" customHeight="1">
      <c r="A1" s="1" t="s">
        <v>0</v>
      </c>
      <c r="B1" s="1" t="s">
        <v>1</v>
      </c>
      <c r="C1" s="2"/>
      <c r="D1" s="2"/>
      <c r="E1" s="2"/>
      <c r="F1" s="2"/>
    </row>
    <row r="2" spans="1:6" ht="15.75" customHeight="1">
      <c r="A2" s="3" t="str">
        <f>'Misc work'!A1</f>
        <v>GEB Otla</v>
      </c>
      <c r="B2" s="3">
        <f>'Misc work'!I11</f>
        <v>60351.606000000007</v>
      </c>
      <c r="C2" s="4"/>
      <c r="D2" s="4"/>
      <c r="E2" s="4"/>
      <c r="F2" s="4"/>
    </row>
    <row r="3" spans="1:6" ht="15.75" customHeight="1">
      <c r="A3" s="3" t="str">
        <f>'Misc work'!A14</f>
        <v>STP Otla</v>
      </c>
      <c r="B3" s="3">
        <f>'Misc work'!I30</f>
        <v>145420.65584000002</v>
      </c>
      <c r="C3" s="4"/>
      <c r="D3" s="4"/>
      <c r="E3" s="4"/>
      <c r="F3" s="4"/>
    </row>
    <row r="4" spans="1:6" ht="15.75" customHeight="1">
      <c r="A4" s="3" t="str">
        <f>'Misc work'!A33</f>
        <v>DG Otla</v>
      </c>
      <c r="B4" s="3">
        <f>'Misc work'!I53</f>
        <v>132277.51</v>
      </c>
      <c r="C4" s="4"/>
      <c r="D4" s="4"/>
      <c r="E4" s="4"/>
      <c r="F4" s="4"/>
    </row>
    <row r="5" spans="1:6" ht="15.75" customHeight="1">
      <c r="A5" s="3" t="str">
        <f>'Misc work'!A56</f>
        <v>Tank near Kitchen</v>
      </c>
      <c r="B5" s="3">
        <f>'Misc work'!I64</f>
        <v>15709.740499999998</v>
      </c>
      <c r="C5" s="4"/>
      <c r="D5" s="1" t="s">
        <v>2</v>
      </c>
      <c r="E5" s="29" t="s">
        <v>3</v>
      </c>
      <c r="F5" s="44" t="s">
        <v>4</v>
      </c>
    </row>
    <row r="6" spans="1:6" ht="15.75" customHeight="1">
      <c r="A6" s="3" t="str">
        <f>'Misc work'!A67</f>
        <v>Wall near kitchen</v>
      </c>
      <c r="B6" s="3">
        <f>'Misc work'!I75</f>
        <v>33333.119999999995</v>
      </c>
      <c r="C6" s="4"/>
      <c r="D6" s="3" t="s">
        <v>5</v>
      </c>
      <c r="E6" s="26" t="s">
        <v>6</v>
      </c>
      <c r="F6" s="27">
        <v>6000</v>
      </c>
    </row>
    <row r="7" spans="1:6" ht="15.75" customHeight="1">
      <c r="A7" s="3" t="str">
        <f>'Misc work'!A78</f>
        <v>Bridge &amp; Tent</v>
      </c>
      <c r="B7" s="3">
        <f>'Misc work'!I85</f>
        <v>28347.1</v>
      </c>
      <c r="C7" s="4"/>
      <c r="D7" s="3" t="s">
        <v>7</v>
      </c>
      <c r="E7" s="26" t="s">
        <v>8</v>
      </c>
      <c r="F7" s="27">
        <v>30</v>
      </c>
    </row>
    <row r="8" spans="1:6" ht="15.75" customHeight="1">
      <c r="A8" s="3" t="str">
        <f>'Misc work'!A88</f>
        <v>Reception</v>
      </c>
      <c r="B8" s="3">
        <f>'Misc work'!I95</f>
        <v>23960.307000000001</v>
      </c>
      <c r="C8" s="4"/>
      <c r="D8" s="3" t="s">
        <v>9</v>
      </c>
      <c r="E8" s="26" t="s">
        <v>8</v>
      </c>
      <c r="F8" s="27">
        <v>45</v>
      </c>
    </row>
    <row r="9" spans="1:6" ht="15.75" customHeight="1">
      <c r="A9" s="3" t="str">
        <f>'Misc work'!A99</f>
        <v>Dining entrance</v>
      </c>
      <c r="B9" s="3">
        <f>'Misc work'!I105</f>
        <v>26617.5216</v>
      </c>
      <c r="C9" s="4"/>
      <c r="D9" s="3" t="s">
        <v>10</v>
      </c>
      <c r="E9" s="26" t="s">
        <v>6</v>
      </c>
      <c r="F9" s="27">
        <v>5000</v>
      </c>
    </row>
    <row r="10" spans="1:6" ht="15.75" customHeight="1">
      <c r="A10" s="3" t="str">
        <f>'Misc work'!A108</f>
        <v>Random flooring</v>
      </c>
      <c r="B10" s="3">
        <f>'Misc work'!I110+((SUM('Misc work'!I111:I130)*0.6))</f>
        <v>88313.112580000001</v>
      </c>
      <c r="C10" s="4"/>
      <c r="D10" s="3" t="s">
        <v>11</v>
      </c>
      <c r="E10" s="26" t="s">
        <v>12</v>
      </c>
      <c r="F10" s="27">
        <v>90</v>
      </c>
    </row>
    <row r="11" spans="1:6" ht="15.75" customHeight="1">
      <c r="A11" s="3" t="str">
        <f>'Misc work'!A136</f>
        <v>Staff quarters bathroom</v>
      </c>
      <c r="B11" s="3">
        <f>'Misc work'!I147</f>
        <v>22746.926399999997</v>
      </c>
      <c r="C11" s="4"/>
      <c r="D11" s="30" t="s">
        <v>13</v>
      </c>
      <c r="E11" s="26" t="s">
        <v>14</v>
      </c>
      <c r="F11" s="27">
        <v>80</v>
      </c>
    </row>
    <row r="12" spans="1:6" ht="15.75" customHeight="1">
      <c r="A12" s="3" t="str">
        <f>'Misc work'!A150</f>
        <v>Hari plumber</v>
      </c>
      <c r="B12" s="3">
        <f>'Misc work'!I156</f>
        <v>4243.9677145284622</v>
      </c>
      <c r="C12" s="4"/>
      <c r="D12" s="30" t="s">
        <v>15</v>
      </c>
      <c r="E12" s="26" t="s">
        <v>14</v>
      </c>
      <c r="F12" s="27">
        <v>90</v>
      </c>
    </row>
    <row r="13" spans="1:6" ht="15.75" customHeight="1">
      <c r="A13" s="3" t="str">
        <f>'Misc work'!A159</f>
        <v>Room 10 Overflow channel repairing</v>
      </c>
      <c r="B13" s="3">
        <f>'Misc work'!I164</f>
        <v>10250</v>
      </c>
      <c r="C13" s="4"/>
      <c r="D13" s="30" t="s">
        <v>16</v>
      </c>
      <c r="E13" s="26" t="s">
        <v>14</v>
      </c>
      <c r="F13" s="27">
        <v>110</v>
      </c>
    </row>
    <row r="14" spans="1:6" ht="15.75" customHeight="1">
      <c r="A14" s="3" t="str">
        <f>Gym!A1</f>
        <v>Gym</v>
      </c>
      <c r="B14" s="3">
        <f>Gym!I10</f>
        <v>175805.20296</v>
      </c>
      <c r="C14" s="4"/>
      <c r="D14" s="3" t="s">
        <v>17</v>
      </c>
      <c r="E14" s="26" t="s">
        <v>12</v>
      </c>
      <c r="F14" s="27">
        <v>130</v>
      </c>
    </row>
    <row r="15" spans="1:6" ht="15.75" customHeight="1">
      <c r="A15" s="3" t="str">
        <f>Gym!A13</f>
        <v>Tent Roof</v>
      </c>
      <c r="B15" s="3">
        <f>Gym!I19</f>
        <v>203320</v>
      </c>
      <c r="C15" s="4"/>
      <c r="D15" s="3" t="s">
        <v>18</v>
      </c>
      <c r="E15" s="26" t="s">
        <v>14</v>
      </c>
      <c r="F15" s="27">
        <v>23</v>
      </c>
    </row>
    <row r="16" spans="1:6" ht="15.75" customHeight="1">
      <c r="A16" s="3" t="str">
        <f>Roofing!B1</f>
        <v>Patra</v>
      </c>
      <c r="B16" s="3">
        <f>Roofing!B20</f>
        <v>486200</v>
      </c>
      <c r="C16" s="4"/>
      <c r="D16" s="3" t="s">
        <v>19</v>
      </c>
      <c r="E16" s="26" t="s">
        <v>14</v>
      </c>
      <c r="F16" s="27">
        <v>22</v>
      </c>
    </row>
    <row r="17" spans="1:6" ht="15.75" customHeight="1">
      <c r="A17" s="3" t="str">
        <f>Roofing!C1</f>
        <v>Damar sheet</v>
      </c>
      <c r="B17" s="3">
        <f>Roofing!C20</f>
        <v>508300</v>
      </c>
      <c r="C17" s="4"/>
      <c r="D17" s="3" t="s">
        <v>20</v>
      </c>
      <c r="E17" s="26" t="s">
        <v>14</v>
      </c>
      <c r="F17" s="27">
        <v>34</v>
      </c>
    </row>
    <row r="18" spans="1:6" ht="15.75" customHeight="1">
      <c r="A18" s="3" t="str">
        <f>Roofing!D1</f>
        <v>Manglorian tiles (without material)</v>
      </c>
      <c r="B18" s="3">
        <f>Roofing!D20</f>
        <v>746300</v>
      </c>
      <c r="C18" s="4"/>
      <c r="D18" s="3" t="s">
        <v>21</v>
      </c>
      <c r="E18" s="26" t="s">
        <v>14</v>
      </c>
      <c r="F18" s="27">
        <v>60</v>
      </c>
    </row>
    <row r="19" spans="1:6" ht="15.75" customHeight="1">
      <c r="A19" s="3" t="str">
        <f>Roofing!E1</f>
        <v>Manglorian tiles (only material)</v>
      </c>
      <c r="B19" s="3">
        <f>Roofing!E20</f>
        <v>93600</v>
      </c>
      <c r="C19" s="4"/>
      <c r="D19" s="3" t="s">
        <v>22</v>
      </c>
      <c r="E19" s="26" t="s">
        <v>14</v>
      </c>
      <c r="F19" s="28">
        <v>230</v>
      </c>
    </row>
    <row r="20" spans="1:6" ht="15.75" customHeight="1">
      <c r="A20" s="3" t="s">
        <v>23</v>
      </c>
      <c r="B20" s="3">
        <f>Pool!C2</f>
        <v>2060000</v>
      </c>
      <c r="C20" s="4"/>
      <c r="D20" s="3" t="s">
        <v>24</v>
      </c>
      <c r="E20" s="26" t="s">
        <v>6</v>
      </c>
      <c r="F20" s="27">
        <v>300</v>
      </c>
    </row>
    <row r="21" spans="1:6" ht="15.75" customHeight="1">
      <c r="A21" s="3" t="str">
        <f>Pool!A4</f>
        <v>Heat pump</v>
      </c>
      <c r="B21" s="3">
        <f>Pool!I12</f>
        <v>19391.831999999999</v>
      </c>
      <c r="C21" s="4"/>
      <c r="D21" s="3" t="s">
        <v>25</v>
      </c>
      <c r="E21" s="26" t="s">
        <v>6</v>
      </c>
      <c r="F21" s="27">
        <v>150</v>
      </c>
    </row>
    <row r="22" spans="1:6" ht="15.75" customHeight="1">
      <c r="A22" s="3" t="str">
        <f>'China mosiac'!A1:D1</f>
        <v>China Mosiac</v>
      </c>
      <c r="B22" s="3">
        <f>'China mosiac'!D5</f>
        <v>697590</v>
      </c>
      <c r="C22" s="4"/>
      <c r="D22" s="3" t="s">
        <v>26</v>
      </c>
      <c r="E22" s="26" t="s">
        <v>6</v>
      </c>
      <c r="F22" s="27">
        <v>3500</v>
      </c>
    </row>
    <row r="23" spans="1:6" ht="15.75" customHeight="1">
      <c r="A23" s="3" t="s">
        <v>27</v>
      </c>
      <c r="B23" s="3">
        <f>Kitchen!I49</f>
        <v>1266234.0381820223</v>
      </c>
      <c r="C23" s="4"/>
      <c r="D23" s="3" t="s">
        <v>28</v>
      </c>
      <c r="E23" s="26" t="s">
        <v>6</v>
      </c>
      <c r="F23" s="27">
        <v>4000</v>
      </c>
    </row>
    <row r="24" spans="1:6" ht="15.75" customHeight="1">
      <c r="A24" s="3" t="s">
        <v>29</v>
      </c>
      <c r="B24" s="3">
        <f>'Old Spa'!F23</f>
        <v>3316588.4844944775</v>
      </c>
      <c r="C24" s="4"/>
      <c r="D24" s="4"/>
      <c r="E24" s="4"/>
      <c r="F24" s="4"/>
    </row>
    <row r="25" spans="1:6" ht="15.75" customHeight="1">
      <c r="A25" s="3" t="s">
        <v>30</v>
      </c>
      <c r="B25" s="3">
        <f>'New Spa'!L28-B26</f>
        <v>1020983.5063721326</v>
      </c>
      <c r="C25" s="4"/>
      <c r="D25" s="4"/>
      <c r="E25" s="4"/>
      <c r="F25" s="4"/>
    </row>
    <row r="26" spans="1:6" ht="15.75" customHeight="1">
      <c r="A26" s="3" t="s">
        <v>31</v>
      </c>
      <c r="B26" s="3">
        <f>'New Spa'!L16+'New Spa'!L17+'New Spa'!L18</f>
        <v>793000</v>
      </c>
      <c r="C26" s="4"/>
      <c r="D26" s="4"/>
      <c r="E26" s="4"/>
      <c r="F26" s="4"/>
    </row>
    <row r="27" spans="1:6" ht="15.75" customHeight="1">
      <c r="A27" s="3" t="s">
        <v>32</v>
      </c>
      <c r="B27" s="3">
        <f>'Renovation all rooms'!C17</f>
        <v>689000</v>
      </c>
      <c r="C27" s="4"/>
      <c r="D27" s="4"/>
      <c r="E27" s="4"/>
      <c r="F27" s="4"/>
    </row>
    <row r="28" spans="1:6" ht="15.75" customHeight="1">
      <c r="A28" s="3" t="s">
        <v>33</v>
      </c>
      <c r="B28" s="3">
        <f>14*5000</f>
        <v>70000</v>
      </c>
      <c r="C28" s="4"/>
      <c r="D28" s="4"/>
      <c r="E28" s="4"/>
      <c r="F28" s="4"/>
    </row>
    <row r="29" spans="1:6" ht="15.75" customHeight="1">
      <c r="A29" s="3" t="s">
        <v>34</v>
      </c>
      <c r="B29" s="3">
        <v>0</v>
      </c>
      <c r="C29" s="4"/>
      <c r="D29" s="4"/>
      <c r="E29" s="4"/>
      <c r="F29" s="4"/>
    </row>
    <row r="30" spans="1:6" ht="15.75" customHeight="1">
      <c r="A30" s="3" t="s">
        <v>35</v>
      </c>
      <c r="B30" s="3">
        <v>0</v>
      </c>
      <c r="C30" s="4"/>
      <c r="D30" s="4"/>
      <c r="E30" s="4"/>
      <c r="F30" s="4"/>
    </row>
    <row r="31" spans="1:6" ht="15.75" customHeight="1">
      <c r="A31" s="3" t="s">
        <v>36</v>
      </c>
      <c r="B31" s="3">
        <v>0</v>
      </c>
      <c r="C31" s="4"/>
      <c r="D31" s="4"/>
      <c r="E31" s="4"/>
      <c r="F31" s="4"/>
    </row>
    <row r="32" spans="1:6" ht="15.75" customHeight="1">
      <c r="A32" s="3"/>
      <c r="B32" s="5">
        <f>SUM(B2:B31)</f>
        <v>12737884.631643161</v>
      </c>
      <c r="C32" s="4"/>
      <c r="D32" s="4"/>
      <c r="E32" s="4"/>
      <c r="F32" s="4"/>
    </row>
    <row r="33" spans="1:6" ht="15.75" customHeight="1">
      <c r="A33" s="4"/>
      <c r="B33" s="4"/>
      <c r="C33" s="4"/>
      <c r="D33" s="4"/>
      <c r="E33" s="4"/>
      <c r="F33" s="4"/>
    </row>
    <row r="34" spans="1:6" ht="15.75" customHeight="1">
      <c r="A34" s="4"/>
      <c r="B34" s="4"/>
      <c r="C34" s="4"/>
      <c r="D34" s="4"/>
      <c r="E34" s="4"/>
      <c r="F34" s="4"/>
    </row>
    <row r="35" spans="1:6" ht="15.75" customHeight="1">
      <c r="A35" s="4"/>
      <c r="B35" s="4"/>
      <c r="C35" s="4"/>
      <c r="D35" s="4"/>
      <c r="E35" s="4"/>
      <c r="F35" s="4"/>
    </row>
    <row r="36" spans="1:6" ht="15.75" customHeight="1">
      <c r="A36" s="4"/>
      <c r="B36" s="4"/>
      <c r="C36" s="4"/>
      <c r="D36" s="4"/>
      <c r="E36" s="4"/>
      <c r="F36" s="4"/>
    </row>
    <row r="37" spans="1:6" ht="15.75" customHeight="1">
      <c r="A37" s="4"/>
      <c r="B37" s="4"/>
      <c r="C37" s="4"/>
      <c r="D37" s="4"/>
      <c r="E37" s="4"/>
      <c r="F37" s="4"/>
    </row>
    <row r="38" spans="1:6" ht="15.75" customHeight="1">
      <c r="A38" s="4"/>
      <c r="B38" s="4"/>
      <c r="C38" s="4"/>
      <c r="D38" s="4"/>
      <c r="E38" s="4"/>
      <c r="F38" s="4"/>
    </row>
    <row r="39" spans="1:6" ht="15.75" customHeight="1">
      <c r="A39" s="4"/>
      <c r="B39" s="4"/>
      <c r="C39" s="4"/>
      <c r="D39" s="4"/>
      <c r="E39" s="4"/>
      <c r="F39" s="4"/>
    </row>
    <row r="40" spans="1:6" ht="15.75" customHeight="1">
      <c r="A40" s="4"/>
      <c r="B40" s="4"/>
      <c r="C40" s="4"/>
      <c r="D40" s="4"/>
      <c r="E40" s="4"/>
      <c r="F40" s="4"/>
    </row>
    <row r="41" spans="1:6" ht="15.75" customHeight="1">
      <c r="A41" s="4"/>
      <c r="B41" s="4"/>
      <c r="C41" s="4"/>
      <c r="D41" s="4"/>
      <c r="E41" s="4"/>
      <c r="F41" s="4"/>
    </row>
    <row r="42" spans="1:6" ht="15.75" customHeight="1">
      <c r="A42" s="4"/>
      <c r="B42" s="4"/>
      <c r="C42" s="4"/>
      <c r="D42" s="4"/>
      <c r="E42" s="4"/>
      <c r="F42" s="4"/>
    </row>
    <row r="43" spans="1:6" ht="15.75" customHeight="1">
      <c r="A43" s="4"/>
      <c r="B43" s="4"/>
      <c r="C43" s="4"/>
      <c r="D43" s="4"/>
      <c r="E43" s="4"/>
      <c r="F43" s="4"/>
    </row>
    <row r="44" spans="1:6" ht="15.75" customHeight="1">
      <c r="A44" s="4"/>
      <c r="B44" s="4"/>
      <c r="C44" s="4"/>
      <c r="D44" s="4"/>
      <c r="E44" s="4"/>
      <c r="F44" s="4"/>
    </row>
    <row r="45" spans="1:6" ht="15.75" customHeight="1">
      <c r="A45" s="4"/>
      <c r="B45" s="4"/>
      <c r="C45" s="4"/>
      <c r="D45" s="4"/>
      <c r="E45" s="4"/>
      <c r="F45" s="4"/>
    </row>
    <row r="46" spans="1:6" ht="15.75" customHeight="1">
      <c r="A46" s="4"/>
      <c r="B46" s="4"/>
      <c r="C46" s="4"/>
      <c r="D46" s="4"/>
      <c r="E46" s="4"/>
      <c r="F46" s="4"/>
    </row>
    <row r="47" spans="1:6" ht="15.75" customHeight="1">
      <c r="A47" s="4"/>
      <c r="B47" s="4"/>
      <c r="C47" s="4"/>
      <c r="D47" s="4"/>
      <c r="E47" s="4"/>
      <c r="F47" s="4"/>
    </row>
    <row r="48" spans="1:6" ht="15.75" customHeight="1">
      <c r="A48" s="4"/>
      <c r="B48" s="4"/>
      <c r="C48" s="4"/>
      <c r="D48" s="4"/>
      <c r="E48" s="4"/>
      <c r="F48" s="4"/>
    </row>
    <row r="49" spans="1:6" ht="15.75" customHeight="1">
      <c r="A49" s="4"/>
      <c r="B49" s="4"/>
      <c r="C49" s="4"/>
      <c r="D49" s="4"/>
      <c r="E49" s="4"/>
      <c r="F49" s="4"/>
    </row>
    <row r="50" spans="1:6" ht="15.75" customHeight="1">
      <c r="A50" s="4"/>
      <c r="B50" s="4"/>
      <c r="C50" s="4"/>
      <c r="D50" s="4"/>
      <c r="E50" s="4"/>
      <c r="F50" s="4"/>
    </row>
    <row r="51" spans="1:6" ht="15.75" customHeight="1">
      <c r="A51" s="4"/>
      <c r="B51" s="4"/>
      <c r="C51" s="4"/>
      <c r="D51" s="4"/>
      <c r="E51" s="4"/>
      <c r="F51" s="4"/>
    </row>
    <row r="52" spans="1:6" ht="15.75" customHeight="1">
      <c r="A52" s="4"/>
      <c r="B52" s="4"/>
      <c r="C52" s="4"/>
      <c r="D52" s="4"/>
      <c r="E52" s="4"/>
      <c r="F52" s="4"/>
    </row>
    <row r="53" spans="1:6" ht="15.75" customHeight="1">
      <c r="A53" s="4"/>
      <c r="B53" s="4"/>
      <c r="C53" s="4"/>
      <c r="D53" s="4"/>
      <c r="E53" s="4"/>
      <c r="F53" s="4"/>
    </row>
    <row r="54" spans="1:6" ht="15.75" customHeight="1">
      <c r="A54" s="4"/>
      <c r="B54" s="4"/>
      <c r="C54" s="4"/>
      <c r="D54" s="4"/>
      <c r="E54" s="4"/>
      <c r="F54" s="4"/>
    </row>
    <row r="55" spans="1:6" ht="15.75" customHeight="1">
      <c r="A55" s="4"/>
      <c r="B55" s="4"/>
      <c r="C55" s="4"/>
      <c r="D55" s="4"/>
      <c r="E55" s="4"/>
      <c r="F55" s="4"/>
    </row>
    <row r="56" spans="1:6" ht="15.75" customHeight="1">
      <c r="A56" s="4"/>
      <c r="B56" s="4"/>
      <c r="C56" s="4"/>
      <c r="D56" s="4"/>
      <c r="E56" s="4"/>
      <c r="F56" s="4"/>
    </row>
    <row r="57" spans="1:6" ht="15.75" customHeight="1">
      <c r="A57" s="4"/>
      <c r="B57" s="4"/>
      <c r="C57" s="4"/>
      <c r="D57" s="4"/>
      <c r="E57" s="4"/>
      <c r="F57" s="4"/>
    </row>
    <row r="58" spans="1:6" ht="15.75" customHeight="1">
      <c r="A58" s="4"/>
      <c r="B58" s="4"/>
      <c r="C58" s="4"/>
      <c r="D58" s="4"/>
      <c r="E58" s="4"/>
      <c r="F58" s="4"/>
    </row>
    <row r="59" spans="1:6" ht="15.75" customHeight="1">
      <c r="A59" s="4"/>
      <c r="B59" s="4"/>
      <c r="C59" s="4"/>
      <c r="D59" s="4"/>
      <c r="E59" s="4"/>
      <c r="F59" s="4"/>
    </row>
    <row r="60" spans="1:6" ht="15.75" customHeight="1">
      <c r="A60" s="4"/>
      <c r="B60" s="4"/>
      <c r="C60" s="4"/>
      <c r="D60" s="4"/>
      <c r="E60" s="4"/>
      <c r="F60" s="4"/>
    </row>
    <row r="61" spans="1:6" ht="15.75" customHeight="1">
      <c r="A61" s="4"/>
      <c r="B61" s="4"/>
      <c r="C61" s="4"/>
      <c r="D61" s="4"/>
      <c r="E61" s="4"/>
      <c r="F61" s="4"/>
    </row>
    <row r="62" spans="1:6" ht="15.75" customHeight="1">
      <c r="A62" s="4"/>
      <c r="B62" s="4"/>
      <c r="C62" s="4"/>
      <c r="D62" s="4"/>
      <c r="E62" s="4"/>
      <c r="F62" s="4"/>
    </row>
    <row r="63" spans="1:6" ht="15.75" customHeight="1">
      <c r="A63" s="4"/>
      <c r="B63" s="4"/>
      <c r="C63" s="4"/>
      <c r="D63" s="4"/>
      <c r="E63" s="4"/>
      <c r="F63" s="4"/>
    </row>
    <row r="64" spans="1:6" ht="15.75" customHeight="1">
      <c r="A64" s="4"/>
      <c r="B64" s="4"/>
      <c r="C64" s="4"/>
      <c r="D64" s="4"/>
      <c r="E64" s="4"/>
      <c r="F64" s="4"/>
    </row>
    <row r="65" spans="1:6" ht="15.75" customHeight="1">
      <c r="A65" s="4"/>
      <c r="B65" s="4"/>
      <c r="C65" s="4"/>
      <c r="D65" s="4"/>
      <c r="E65" s="4"/>
      <c r="F65" s="4"/>
    </row>
    <row r="66" spans="1:6" ht="15.75" customHeight="1">
      <c r="A66" s="4"/>
      <c r="B66" s="4"/>
      <c r="C66" s="4"/>
      <c r="D66" s="4"/>
      <c r="E66" s="4"/>
      <c r="F66" s="4"/>
    </row>
    <row r="67" spans="1:6" ht="15.75" customHeight="1">
      <c r="A67" s="4"/>
      <c r="B67" s="4"/>
      <c r="C67" s="4"/>
      <c r="D67" s="4"/>
      <c r="E67" s="4"/>
      <c r="F67" s="4"/>
    </row>
    <row r="68" spans="1:6" ht="15.75" customHeight="1">
      <c r="A68" s="4"/>
      <c r="B68" s="4"/>
      <c r="C68" s="4"/>
      <c r="D68" s="4"/>
      <c r="E68" s="4"/>
      <c r="F68" s="4"/>
    </row>
    <row r="69" spans="1:6" ht="15.75" customHeight="1">
      <c r="A69" s="4"/>
      <c r="B69" s="4"/>
      <c r="C69" s="4"/>
      <c r="D69" s="4"/>
      <c r="E69" s="4"/>
      <c r="F69" s="4"/>
    </row>
    <row r="70" spans="1:6" ht="15.75" customHeight="1">
      <c r="A70" s="4"/>
      <c r="B70" s="4"/>
      <c r="C70" s="4"/>
      <c r="D70" s="4"/>
      <c r="E70" s="4"/>
      <c r="F70" s="4"/>
    </row>
    <row r="71" spans="1:6" ht="15.75" customHeight="1">
      <c r="A71" s="4"/>
      <c r="B71" s="4"/>
      <c r="C71" s="4"/>
      <c r="D71" s="4"/>
      <c r="E71" s="4"/>
      <c r="F71" s="4"/>
    </row>
    <row r="72" spans="1:6" ht="15.75" customHeight="1">
      <c r="A72" s="4"/>
      <c r="B72" s="4"/>
      <c r="C72" s="4"/>
      <c r="D72" s="4"/>
      <c r="E72" s="4"/>
      <c r="F72" s="4"/>
    </row>
    <row r="73" spans="1:6" ht="15.75" customHeight="1">
      <c r="A73" s="4"/>
      <c r="B73" s="4"/>
      <c r="C73" s="4"/>
      <c r="D73" s="4"/>
      <c r="E73" s="4"/>
      <c r="F73" s="4"/>
    </row>
    <row r="74" spans="1:6" ht="15.75" customHeight="1">
      <c r="A74" s="4"/>
      <c r="B74" s="4"/>
      <c r="C74" s="4"/>
      <c r="D74" s="4"/>
      <c r="E74" s="4"/>
      <c r="F74" s="4"/>
    </row>
    <row r="75" spans="1:6" ht="15.75" customHeight="1">
      <c r="A75" s="4"/>
      <c r="B75" s="4"/>
      <c r="C75" s="4"/>
      <c r="D75" s="4"/>
      <c r="E75" s="4"/>
      <c r="F75" s="4"/>
    </row>
    <row r="76" spans="1:6" ht="15.75" customHeight="1">
      <c r="A76" s="4"/>
      <c r="B76" s="4"/>
      <c r="C76" s="4"/>
      <c r="D76" s="4"/>
      <c r="E76" s="4"/>
      <c r="F76" s="4"/>
    </row>
    <row r="77" spans="1:6" ht="15.75" customHeight="1">
      <c r="A77" s="4"/>
      <c r="B77" s="4"/>
      <c r="C77" s="4"/>
      <c r="D77" s="4"/>
      <c r="E77" s="4"/>
      <c r="F77" s="4"/>
    </row>
    <row r="78" spans="1:6" ht="15.75" customHeight="1">
      <c r="A78" s="4"/>
      <c r="B78" s="4"/>
      <c r="C78" s="4"/>
      <c r="D78" s="4"/>
      <c r="E78" s="4"/>
      <c r="F78" s="4"/>
    </row>
    <row r="79" spans="1:6" ht="15.75" customHeight="1">
      <c r="A79" s="4"/>
      <c r="B79" s="4"/>
      <c r="C79" s="4"/>
      <c r="D79" s="4"/>
      <c r="E79" s="4"/>
      <c r="F79" s="4"/>
    </row>
    <row r="80" spans="1:6" ht="15.75" customHeight="1">
      <c r="A80" s="4"/>
      <c r="B80" s="4"/>
      <c r="C80" s="4"/>
      <c r="D80" s="4"/>
      <c r="E80" s="4"/>
      <c r="F80" s="4"/>
    </row>
    <row r="81" spans="1:6" ht="15.75" customHeight="1">
      <c r="A81" s="4"/>
      <c r="B81" s="4"/>
      <c r="C81" s="4"/>
      <c r="D81" s="4"/>
      <c r="E81" s="4"/>
      <c r="F81" s="4"/>
    </row>
    <row r="82" spans="1:6" ht="15.75" customHeight="1">
      <c r="A82" s="4"/>
      <c r="B82" s="4"/>
      <c r="C82" s="4"/>
      <c r="D82" s="4"/>
      <c r="E82" s="4"/>
      <c r="F82" s="4"/>
    </row>
    <row r="83" spans="1:6" ht="15.75" customHeight="1">
      <c r="A83" s="4"/>
      <c r="B83" s="4"/>
      <c r="C83" s="4"/>
      <c r="D83" s="4"/>
      <c r="E83" s="4"/>
      <c r="F83" s="4"/>
    </row>
    <row r="84" spans="1:6" ht="15.75" customHeight="1">
      <c r="A84" s="4"/>
      <c r="B84" s="4"/>
      <c r="C84" s="4"/>
      <c r="D84" s="4"/>
      <c r="E84" s="4"/>
      <c r="F84" s="4"/>
    </row>
    <row r="85" spans="1:6" ht="15.75" customHeight="1">
      <c r="A85" s="4"/>
      <c r="B85" s="4"/>
      <c r="C85" s="4"/>
      <c r="D85" s="4"/>
      <c r="E85" s="4"/>
      <c r="F85" s="4"/>
    </row>
    <row r="86" spans="1:6" ht="15.75" customHeight="1">
      <c r="A86" s="4"/>
      <c r="B86" s="4"/>
      <c r="C86" s="4"/>
      <c r="D86" s="4"/>
      <c r="E86" s="4"/>
      <c r="F86" s="4"/>
    </row>
    <row r="87" spans="1:6" ht="15.75" customHeight="1">
      <c r="A87" s="4"/>
      <c r="B87" s="4"/>
      <c r="C87" s="4"/>
      <c r="D87" s="4"/>
      <c r="E87" s="4"/>
      <c r="F87" s="4"/>
    </row>
    <row r="88" spans="1:6" ht="15.75" customHeight="1">
      <c r="A88" s="4"/>
      <c r="B88" s="4"/>
      <c r="C88" s="4"/>
      <c r="D88" s="4"/>
      <c r="E88" s="4"/>
      <c r="F88" s="4"/>
    </row>
    <row r="89" spans="1:6" ht="15.75" customHeight="1">
      <c r="A89" s="4"/>
      <c r="B89" s="4"/>
      <c r="C89" s="4"/>
      <c r="D89" s="4"/>
      <c r="E89" s="4"/>
      <c r="F89" s="4"/>
    </row>
    <row r="90" spans="1:6" ht="15.75" customHeight="1">
      <c r="A90" s="4"/>
      <c r="B90" s="4"/>
      <c r="C90" s="4"/>
      <c r="D90" s="4"/>
      <c r="E90" s="4"/>
      <c r="F90" s="4"/>
    </row>
    <row r="91" spans="1:6" ht="15.75" customHeight="1">
      <c r="A91" s="4"/>
      <c r="B91" s="4"/>
      <c r="C91" s="4"/>
      <c r="D91" s="4"/>
      <c r="E91" s="4"/>
      <c r="F91" s="4"/>
    </row>
    <row r="92" spans="1:6" ht="15.75" customHeight="1">
      <c r="A92" s="4"/>
      <c r="B92" s="4"/>
      <c r="C92" s="4"/>
      <c r="D92" s="4"/>
      <c r="E92" s="4"/>
      <c r="F92" s="4"/>
    </row>
    <row r="93" spans="1:6" ht="15.75" customHeight="1">
      <c r="A93" s="4"/>
      <c r="B93" s="4"/>
      <c r="C93" s="4"/>
      <c r="D93" s="4"/>
      <c r="E93" s="4"/>
      <c r="F93" s="4"/>
    </row>
    <row r="94" spans="1:6" ht="15.75" customHeight="1">
      <c r="A94" s="4"/>
      <c r="B94" s="4"/>
      <c r="C94" s="4"/>
      <c r="D94" s="4"/>
      <c r="E94" s="4"/>
      <c r="F94" s="4"/>
    </row>
    <row r="95" spans="1:6" ht="15.75" customHeight="1">
      <c r="A95" s="4"/>
      <c r="B95" s="4"/>
      <c r="C95" s="4"/>
      <c r="D95" s="4"/>
      <c r="E95" s="4"/>
      <c r="F95" s="4"/>
    </row>
    <row r="96" spans="1:6" ht="15.75" customHeight="1">
      <c r="A96" s="4"/>
      <c r="B96" s="4"/>
      <c r="C96" s="4"/>
      <c r="D96" s="4"/>
      <c r="E96" s="4"/>
      <c r="F96" s="4"/>
    </row>
    <row r="97" spans="1:6" ht="15.75" customHeight="1">
      <c r="A97" s="4"/>
      <c r="B97" s="4"/>
      <c r="C97" s="4"/>
      <c r="D97" s="4"/>
      <c r="E97" s="4"/>
      <c r="F97" s="4"/>
    </row>
    <row r="98" spans="1:6" ht="15.75" customHeight="1">
      <c r="A98" s="4"/>
      <c r="B98" s="4"/>
      <c r="C98" s="4"/>
      <c r="D98" s="4"/>
      <c r="E98" s="4"/>
      <c r="F98" s="4"/>
    </row>
    <row r="99" spans="1:6" ht="15.75" customHeight="1">
      <c r="A99" s="4"/>
      <c r="B99" s="4"/>
      <c r="C99" s="4"/>
      <c r="D99" s="4"/>
      <c r="E99" s="4"/>
      <c r="F99" s="4"/>
    </row>
    <row r="100" spans="1:6" ht="15.75" customHeight="1">
      <c r="A100" s="4"/>
      <c r="B100" s="4"/>
      <c r="C100" s="4"/>
      <c r="D100" s="4"/>
      <c r="E100" s="4"/>
      <c r="F100" s="4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4"/>
  <sheetViews>
    <sheetView topLeftCell="A128" workbookViewId="0">
      <selection activeCell="G23" sqref="G23"/>
    </sheetView>
  </sheetViews>
  <sheetFormatPr baseColWidth="10" defaultColWidth="12.6640625" defaultRowHeight="15" customHeight="1"/>
  <cols>
    <col min="1" max="1" width="20.83203125" customWidth="1"/>
    <col min="2" max="5" width="10.83203125" customWidth="1"/>
    <col min="6" max="6" width="10.1640625" customWidth="1"/>
    <col min="7" max="7" width="14.1640625" customWidth="1"/>
    <col min="8" max="8" width="9.83203125" customWidth="1"/>
    <col min="9" max="9" width="12.33203125" customWidth="1"/>
    <col min="10" max="10" width="18" customWidth="1"/>
    <col min="11" max="11" width="10.6640625" customWidth="1"/>
  </cols>
  <sheetData>
    <row r="1" spans="1:11" ht="15.75" customHeight="1">
      <c r="A1" s="34" t="s">
        <v>141</v>
      </c>
      <c r="B1" s="32"/>
      <c r="C1" s="32"/>
      <c r="D1" s="32"/>
      <c r="E1" s="32"/>
      <c r="F1" s="32"/>
      <c r="G1" s="32"/>
      <c r="H1" s="32"/>
      <c r="I1" s="33"/>
      <c r="J1" s="4"/>
      <c r="K1" s="4"/>
    </row>
    <row r="2" spans="1:11" ht="15.75" customHeight="1">
      <c r="A2" s="3"/>
      <c r="B2" s="3" t="s">
        <v>127</v>
      </c>
      <c r="C2" s="3" t="s">
        <v>58</v>
      </c>
      <c r="D2" s="3" t="s">
        <v>59</v>
      </c>
      <c r="E2" s="3" t="s">
        <v>60</v>
      </c>
      <c r="F2" s="3"/>
      <c r="G2" s="3" t="s">
        <v>142</v>
      </c>
      <c r="H2" s="3" t="s">
        <v>4</v>
      </c>
      <c r="I2" s="3" t="s">
        <v>128</v>
      </c>
      <c r="J2" s="4"/>
      <c r="K2" s="4"/>
    </row>
    <row r="3" spans="1:11" ht="15.75" customHeight="1">
      <c r="A3" s="3" t="s">
        <v>24</v>
      </c>
      <c r="B3" s="3">
        <v>1</v>
      </c>
      <c r="C3" s="3">
        <v>8.8000000000000007</v>
      </c>
      <c r="D3" s="3">
        <v>0.9</v>
      </c>
      <c r="E3" s="3">
        <v>0.7</v>
      </c>
      <c r="F3" s="3" t="s">
        <v>6</v>
      </c>
      <c r="G3" s="3">
        <f t="shared" ref="G3:G8" si="0">C3*D3*E3*B3</f>
        <v>5.5440000000000005</v>
      </c>
      <c r="H3" s="3">
        <f>Summary!F20</f>
        <v>300</v>
      </c>
      <c r="I3" s="3">
        <f t="shared" ref="I3:I4" si="1">G3*H3</f>
        <v>1663.2</v>
      </c>
      <c r="J3" s="4"/>
      <c r="K3" s="4"/>
    </row>
    <row r="4" spans="1:11" ht="15.75" customHeight="1">
      <c r="A4" s="3" t="s">
        <v>136</v>
      </c>
      <c r="B4" s="3">
        <v>1</v>
      </c>
      <c r="C4" s="3">
        <v>1.74</v>
      </c>
      <c r="D4" s="3">
        <v>1.74</v>
      </c>
      <c r="E4" s="3">
        <v>2.1</v>
      </c>
      <c r="F4" s="3" t="s">
        <v>6</v>
      </c>
      <c r="G4" s="3">
        <f t="shared" si="0"/>
        <v>6.3579600000000003</v>
      </c>
      <c r="H4" s="3">
        <f>Summary!F21</f>
        <v>150</v>
      </c>
      <c r="I4" s="3">
        <f t="shared" si="1"/>
        <v>953.69400000000007</v>
      </c>
      <c r="J4" s="4"/>
      <c r="K4" s="4"/>
    </row>
    <row r="5" spans="1:11" ht="15.75" customHeight="1">
      <c r="A5" s="3" t="s">
        <v>63</v>
      </c>
      <c r="B5" s="3">
        <v>2</v>
      </c>
      <c r="C5" s="3">
        <v>2.17</v>
      </c>
      <c r="D5" s="3">
        <v>0.35</v>
      </c>
      <c r="E5" s="3">
        <v>0.9</v>
      </c>
      <c r="F5" s="3" t="s">
        <v>6</v>
      </c>
      <c r="G5" s="3">
        <f t="shared" si="0"/>
        <v>1.3671</v>
      </c>
      <c r="H5" s="3"/>
      <c r="I5" s="3"/>
      <c r="J5" s="4"/>
      <c r="K5" s="4"/>
    </row>
    <row r="6" spans="1:11" ht="15.75" customHeight="1">
      <c r="A6" s="3"/>
      <c r="B6" s="3">
        <v>2</v>
      </c>
      <c r="C6" s="3">
        <v>2.2000000000000002</v>
      </c>
      <c r="D6" s="3">
        <v>0.35</v>
      </c>
      <c r="E6" s="3">
        <v>0.9</v>
      </c>
      <c r="F6" s="3" t="s">
        <v>6</v>
      </c>
      <c r="G6" s="3">
        <f t="shared" si="0"/>
        <v>1.3860000000000001</v>
      </c>
      <c r="H6" s="3"/>
      <c r="I6" s="3"/>
      <c r="J6" s="4"/>
      <c r="K6" s="4"/>
    </row>
    <row r="7" spans="1:11" ht="15.75" customHeight="1">
      <c r="A7" s="3"/>
      <c r="B7" s="3">
        <v>4</v>
      </c>
      <c r="C7" s="3">
        <v>2.17</v>
      </c>
      <c r="D7" s="3">
        <v>0.23</v>
      </c>
      <c r="E7" s="3">
        <v>2.1</v>
      </c>
      <c r="F7" s="3" t="s">
        <v>6</v>
      </c>
      <c r="G7" s="3">
        <f t="shared" si="0"/>
        <v>4.1924400000000004</v>
      </c>
      <c r="H7" s="3"/>
      <c r="I7" s="3"/>
      <c r="J7" s="4"/>
      <c r="K7" s="4"/>
    </row>
    <row r="8" spans="1:11" ht="15.75" customHeight="1">
      <c r="A8" s="3"/>
      <c r="B8" s="3">
        <v>2</v>
      </c>
      <c r="C8" s="3">
        <v>1.74</v>
      </c>
      <c r="D8" s="3">
        <v>0.23</v>
      </c>
      <c r="E8" s="3">
        <v>2.1</v>
      </c>
      <c r="F8" s="3" t="s">
        <v>6</v>
      </c>
      <c r="G8" s="3">
        <f t="shared" si="0"/>
        <v>1.6808400000000001</v>
      </c>
      <c r="H8" s="3"/>
      <c r="I8" s="3"/>
      <c r="J8" s="4"/>
      <c r="K8" s="4"/>
    </row>
    <row r="9" spans="1:11" ht="15.75" customHeight="1">
      <c r="A9" s="3"/>
      <c r="B9" s="3"/>
      <c r="C9" s="3"/>
      <c r="D9" s="3"/>
      <c r="E9" s="3"/>
      <c r="F9" s="3" t="s">
        <v>6</v>
      </c>
      <c r="G9" s="3">
        <f>SUM(G5:G8)</f>
        <v>8.626380000000001</v>
      </c>
      <c r="H9" s="3">
        <f>Summary!F6</f>
        <v>6000</v>
      </c>
      <c r="I9" s="3">
        <f t="shared" ref="I9:I10" si="2">G9*H9</f>
        <v>51758.280000000006</v>
      </c>
      <c r="J9" s="4"/>
      <c r="K9" s="4"/>
    </row>
    <row r="10" spans="1:11" ht="15.75" customHeight="1">
      <c r="A10" s="3" t="s">
        <v>130</v>
      </c>
      <c r="B10" s="3">
        <v>4</v>
      </c>
      <c r="C10" s="3">
        <v>2.2000000000000002</v>
      </c>
      <c r="D10" s="3"/>
      <c r="E10" s="3">
        <v>2.1</v>
      </c>
      <c r="F10" s="3" t="s">
        <v>131</v>
      </c>
      <c r="G10" s="3">
        <f>C10*E10*B10</f>
        <v>18.480000000000004</v>
      </c>
      <c r="H10" s="3">
        <f>Summary!F7*10.78</f>
        <v>323.39999999999998</v>
      </c>
      <c r="I10" s="3">
        <f t="shared" si="2"/>
        <v>5976.4320000000007</v>
      </c>
      <c r="J10" s="4"/>
      <c r="K10" s="4"/>
    </row>
    <row r="11" spans="1:11" ht="15.75" customHeight="1">
      <c r="A11" s="4"/>
      <c r="B11" s="4"/>
      <c r="C11" s="4"/>
      <c r="D11" s="4"/>
      <c r="E11" s="4"/>
      <c r="F11" s="4"/>
      <c r="G11" s="4"/>
      <c r="H11" s="4"/>
      <c r="I11" s="3">
        <f>SUM(I3:I10)</f>
        <v>60351.606000000007</v>
      </c>
      <c r="J11" s="4"/>
      <c r="K11" s="4"/>
    </row>
    <row r="12" spans="1:11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>
      <c r="A14" s="34" t="s">
        <v>143</v>
      </c>
      <c r="B14" s="32"/>
      <c r="C14" s="32"/>
      <c r="D14" s="32"/>
      <c r="E14" s="32"/>
      <c r="F14" s="32"/>
      <c r="G14" s="32"/>
      <c r="H14" s="32"/>
      <c r="I14" s="33"/>
      <c r="J14" s="4"/>
      <c r="K14" s="4"/>
    </row>
    <row r="15" spans="1:11" ht="15.75" customHeight="1">
      <c r="A15" s="3"/>
      <c r="B15" s="3" t="s">
        <v>127</v>
      </c>
      <c r="C15" s="3" t="s">
        <v>58</v>
      </c>
      <c r="D15" s="3" t="s">
        <v>59</v>
      </c>
      <c r="E15" s="3" t="s">
        <v>60</v>
      </c>
      <c r="F15" s="3" t="s">
        <v>3</v>
      </c>
      <c r="G15" s="3" t="s">
        <v>61</v>
      </c>
      <c r="H15" s="3" t="s">
        <v>4</v>
      </c>
      <c r="I15" s="3" t="s">
        <v>128</v>
      </c>
      <c r="J15" s="4"/>
      <c r="K15" s="4"/>
    </row>
    <row r="16" spans="1:11" ht="15.75" customHeight="1">
      <c r="A16" s="3" t="s">
        <v>24</v>
      </c>
      <c r="B16" s="3">
        <v>1</v>
      </c>
      <c r="C16" s="3">
        <v>20</v>
      </c>
      <c r="D16" s="3">
        <v>0.9</v>
      </c>
      <c r="E16" s="3">
        <v>0.75</v>
      </c>
      <c r="F16" s="3" t="s">
        <v>6</v>
      </c>
      <c r="G16" s="3">
        <f t="shared" ref="G16:G19" si="3">C16*D16*E16*B16</f>
        <v>13.5</v>
      </c>
      <c r="H16" s="3">
        <f t="shared" ref="H16:H17" si="4">H3</f>
        <v>300</v>
      </c>
      <c r="I16" s="3">
        <f t="shared" ref="I16:I17" si="5">G16*H16</f>
        <v>4050</v>
      </c>
      <c r="J16" s="4"/>
      <c r="K16" s="4"/>
    </row>
    <row r="17" spans="1:11" ht="15.75" customHeight="1">
      <c r="A17" s="3" t="s">
        <v>136</v>
      </c>
      <c r="B17" s="3">
        <v>1</v>
      </c>
      <c r="C17" s="3">
        <v>4.57</v>
      </c>
      <c r="D17" s="3">
        <v>5.33</v>
      </c>
      <c r="E17" s="3">
        <v>0.6</v>
      </c>
      <c r="F17" s="3" t="s">
        <v>6</v>
      </c>
      <c r="G17" s="3">
        <f t="shared" si="3"/>
        <v>14.61486</v>
      </c>
      <c r="H17" s="3">
        <f t="shared" si="4"/>
        <v>150</v>
      </c>
      <c r="I17" s="3">
        <f t="shared" si="5"/>
        <v>2192.2289999999998</v>
      </c>
      <c r="J17" s="4"/>
      <c r="K17" s="4"/>
    </row>
    <row r="18" spans="1:11" ht="15.75" customHeight="1">
      <c r="A18" s="3" t="s">
        <v>63</v>
      </c>
      <c r="B18" s="3">
        <v>2</v>
      </c>
      <c r="C18" s="3">
        <v>4.6100000000000003</v>
      </c>
      <c r="D18" s="3">
        <v>0.45</v>
      </c>
      <c r="E18" s="3">
        <v>1.52</v>
      </c>
      <c r="F18" s="3" t="s">
        <v>6</v>
      </c>
      <c r="G18" s="3">
        <f t="shared" si="3"/>
        <v>6.3064800000000005</v>
      </c>
      <c r="H18" s="3"/>
      <c r="I18" s="3"/>
      <c r="J18" s="4"/>
      <c r="K18" s="4"/>
    </row>
    <row r="19" spans="1:11" ht="15.75" customHeight="1">
      <c r="A19" s="3"/>
      <c r="B19" s="3">
        <v>2</v>
      </c>
      <c r="C19" s="3">
        <v>5.4</v>
      </c>
      <c r="D19" s="3">
        <v>0.45</v>
      </c>
      <c r="E19" s="3">
        <v>1.52</v>
      </c>
      <c r="F19" s="3" t="s">
        <v>6</v>
      </c>
      <c r="G19" s="3">
        <f t="shared" si="3"/>
        <v>7.3872000000000009</v>
      </c>
      <c r="H19" s="3"/>
      <c r="I19" s="3"/>
      <c r="J19" s="4"/>
      <c r="K19" s="4"/>
    </row>
    <row r="20" spans="1:11" ht="15.75" customHeight="1">
      <c r="A20" s="3"/>
      <c r="B20" s="3"/>
      <c r="C20" s="3"/>
      <c r="D20" s="3"/>
      <c r="E20" s="3"/>
      <c r="F20" s="3" t="s">
        <v>6</v>
      </c>
      <c r="G20" s="3">
        <f>SUM(G18:G19)</f>
        <v>13.693680000000001</v>
      </c>
      <c r="H20" s="3">
        <f t="shared" ref="H20:H21" si="6">H9</f>
        <v>6000</v>
      </c>
      <c r="I20" s="3">
        <f t="shared" ref="I20:I23" si="7">G20*H20</f>
        <v>82162.080000000002</v>
      </c>
      <c r="J20" s="4"/>
      <c r="K20" s="4"/>
    </row>
    <row r="21" spans="1:11" ht="15.75" customHeight="1">
      <c r="A21" s="3" t="s">
        <v>130</v>
      </c>
      <c r="B21" s="3">
        <v>1</v>
      </c>
      <c r="C21" s="3">
        <v>5.4</v>
      </c>
      <c r="D21" s="3">
        <f>9.22/2</f>
        <v>4.6100000000000003</v>
      </c>
      <c r="E21" s="3">
        <v>0.6</v>
      </c>
      <c r="F21" s="3" t="s">
        <v>131</v>
      </c>
      <c r="G21" s="3">
        <f>(C21+C21+D21+D21)*E21*B21</f>
        <v>12.011999999999999</v>
      </c>
      <c r="H21" s="3">
        <f t="shared" si="6"/>
        <v>323.39999999999998</v>
      </c>
      <c r="I21" s="3">
        <f t="shared" si="7"/>
        <v>3884.6807999999992</v>
      </c>
      <c r="J21" s="4"/>
      <c r="K21" s="4"/>
    </row>
    <row r="22" spans="1:11" ht="15.75" customHeight="1">
      <c r="A22" s="3" t="s">
        <v>28</v>
      </c>
      <c r="B22" s="3">
        <v>1</v>
      </c>
      <c r="C22" s="3">
        <v>4.6100000000000003</v>
      </c>
      <c r="D22" s="3">
        <v>5.4</v>
      </c>
      <c r="E22" s="3">
        <v>0.125</v>
      </c>
      <c r="F22" s="3" t="s">
        <v>6</v>
      </c>
      <c r="G22" s="3">
        <f>C22*D22*E22*B22</f>
        <v>3.1117500000000002</v>
      </c>
      <c r="H22" s="3">
        <f>Summary!F23</f>
        <v>4000</v>
      </c>
      <c r="I22" s="3">
        <f t="shared" si="7"/>
        <v>12447.000000000002</v>
      </c>
      <c r="J22" s="4"/>
      <c r="K22" s="4"/>
    </row>
    <row r="23" spans="1:11" ht="15.75" customHeight="1">
      <c r="A23" s="3" t="s">
        <v>11</v>
      </c>
      <c r="B23" s="3"/>
      <c r="C23" s="3"/>
      <c r="D23" s="3"/>
      <c r="E23" s="3"/>
      <c r="F23" s="3" t="s">
        <v>12</v>
      </c>
      <c r="G23" s="3">
        <f>C22*D22*B22*10.78*1</f>
        <v>268.35732000000002</v>
      </c>
      <c r="H23" s="3">
        <f>Summary!F10</f>
        <v>90</v>
      </c>
      <c r="I23" s="3">
        <f t="shared" si="7"/>
        <v>24152.158800000001</v>
      </c>
      <c r="J23" s="4"/>
      <c r="K23" s="4"/>
    </row>
    <row r="24" spans="1:11" ht="15.75" customHeight="1">
      <c r="A24" s="3" t="s">
        <v>17</v>
      </c>
      <c r="B24" s="3">
        <v>1</v>
      </c>
      <c r="C24" s="3">
        <v>5.81</v>
      </c>
      <c r="D24" s="3">
        <v>6.6</v>
      </c>
      <c r="E24" s="3"/>
      <c r="F24" s="3" t="s">
        <v>144</v>
      </c>
      <c r="G24" s="3"/>
      <c r="H24" s="3"/>
      <c r="I24" s="3">
        <f>H24</f>
        <v>0</v>
      </c>
      <c r="J24" s="4" t="s">
        <v>145</v>
      </c>
      <c r="K24" s="4"/>
    </row>
    <row r="25" spans="1:11" ht="15.75" customHeight="1">
      <c r="A25" s="3" t="s">
        <v>18</v>
      </c>
      <c r="B25" s="3"/>
      <c r="C25" s="3"/>
      <c r="D25" s="3"/>
      <c r="E25" s="3"/>
      <c r="F25" s="3" t="s">
        <v>14</v>
      </c>
      <c r="G25" s="3">
        <f>C24*D24*10.78</f>
        <v>413.36987999999997</v>
      </c>
      <c r="H25" s="3">
        <f>Summary!F15</f>
        <v>23</v>
      </c>
      <c r="I25" s="3">
        <f t="shared" ref="I25:I29" si="8">G25*H25</f>
        <v>9507.507239999999</v>
      </c>
      <c r="J25" s="4"/>
      <c r="K25" s="4"/>
    </row>
    <row r="26" spans="1:11" ht="15.75" customHeight="1">
      <c r="A26" s="3" t="s">
        <v>19</v>
      </c>
      <c r="B26" s="3"/>
      <c r="C26" s="3"/>
      <c r="D26" s="3"/>
      <c r="E26" s="3"/>
      <c r="F26" s="3" t="s">
        <v>14</v>
      </c>
      <c r="G26" s="3">
        <f>C24*D24*10.78</f>
        <v>413.36987999999997</v>
      </c>
      <c r="H26" s="3">
        <v>0</v>
      </c>
      <c r="I26" s="3">
        <f t="shared" si="8"/>
        <v>0</v>
      </c>
      <c r="J26" s="4"/>
      <c r="K26" s="4"/>
    </row>
    <row r="27" spans="1:11" ht="15.75" customHeight="1">
      <c r="A27" s="3" t="s">
        <v>146</v>
      </c>
      <c r="B27" s="3"/>
      <c r="C27" s="3"/>
      <c r="D27" s="3"/>
      <c r="E27" s="3"/>
      <c r="F27" s="3" t="s">
        <v>147</v>
      </c>
      <c r="G27" s="3">
        <v>5</v>
      </c>
      <c r="H27" s="3">
        <v>390</v>
      </c>
      <c r="I27" s="3">
        <f t="shared" si="8"/>
        <v>1950</v>
      </c>
      <c r="J27" s="4"/>
      <c r="K27" s="4"/>
    </row>
    <row r="28" spans="1:11" ht="15.75" customHeight="1">
      <c r="A28" s="3" t="s">
        <v>148</v>
      </c>
      <c r="B28" s="3"/>
      <c r="C28" s="3"/>
      <c r="D28" s="3"/>
      <c r="E28" s="3"/>
      <c r="F28" s="3" t="s">
        <v>149</v>
      </c>
      <c r="G28" s="3">
        <v>475</v>
      </c>
      <c r="H28" s="3">
        <v>9</v>
      </c>
      <c r="I28" s="3">
        <f t="shared" si="8"/>
        <v>4275</v>
      </c>
      <c r="J28" s="4"/>
      <c r="K28" s="4"/>
    </row>
    <row r="29" spans="1:11" ht="15.75" customHeight="1">
      <c r="A29" s="3" t="s">
        <v>150</v>
      </c>
      <c r="B29" s="3"/>
      <c r="C29" s="3"/>
      <c r="D29" s="3"/>
      <c r="E29" s="3"/>
      <c r="F29" s="3" t="s">
        <v>151</v>
      </c>
      <c r="G29" s="3">
        <v>1</v>
      </c>
      <c r="H29" s="3">
        <v>800</v>
      </c>
      <c r="I29" s="3">
        <f t="shared" si="8"/>
        <v>800</v>
      </c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3">
        <f>SUM(I16:I29)</f>
        <v>145420.65584000002</v>
      </c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34" t="s">
        <v>152</v>
      </c>
      <c r="B33" s="32"/>
      <c r="C33" s="32"/>
      <c r="D33" s="32"/>
      <c r="E33" s="32"/>
      <c r="F33" s="32"/>
      <c r="G33" s="32"/>
      <c r="H33" s="32"/>
      <c r="I33" s="33"/>
      <c r="J33" s="4"/>
      <c r="K33" s="4"/>
    </row>
    <row r="34" spans="1:11" ht="15.75" customHeight="1">
      <c r="A34" s="3"/>
      <c r="B34" s="3" t="s">
        <v>127</v>
      </c>
      <c r="C34" s="3" t="s">
        <v>58</v>
      </c>
      <c r="D34" s="3" t="s">
        <v>59</v>
      </c>
      <c r="E34" s="3" t="s">
        <v>60</v>
      </c>
      <c r="F34" s="3" t="s">
        <v>3</v>
      </c>
      <c r="G34" s="3" t="s">
        <v>61</v>
      </c>
      <c r="H34" s="3" t="s">
        <v>4</v>
      </c>
      <c r="I34" s="3" t="s">
        <v>128</v>
      </c>
      <c r="J34" s="4"/>
      <c r="K34" s="4"/>
    </row>
    <row r="35" spans="1:11" ht="15.75" customHeight="1">
      <c r="A35" s="3" t="s">
        <v>24</v>
      </c>
      <c r="B35" s="3">
        <v>1</v>
      </c>
      <c r="C35" s="3">
        <v>8.1999999999999993</v>
      </c>
      <c r="D35" s="3">
        <v>0.9</v>
      </c>
      <c r="E35" s="3">
        <v>0.7</v>
      </c>
      <c r="F35" s="3" t="s">
        <v>6</v>
      </c>
      <c r="G35" s="3">
        <f t="shared" ref="G35:G41" si="9">C35*D35*E35*B35</f>
        <v>5.1659999999999995</v>
      </c>
      <c r="H35" s="3">
        <f t="shared" ref="H35:H36" si="10">H16</f>
        <v>300</v>
      </c>
      <c r="I35" s="3">
        <f t="shared" ref="I35:I36" si="11">G35*H35</f>
        <v>1549.8</v>
      </c>
      <c r="J35" s="4"/>
      <c r="K35" s="4"/>
    </row>
    <row r="36" spans="1:11" ht="15.75" customHeight="1">
      <c r="A36" s="3" t="s">
        <v>136</v>
      </c>
      <c r="B36" s="3">
        <v>1</v>
      </c>
      <c r="C36" s="3">
        <v>2.6</v>
      </c>
      <c r="D36" s="3">
        <v>56</v>
      </c>
      <c r="E36" s="3">
        <v>0.75</v>
      </c>
      <c r="F36" s="3" t="s">
        <v>6</v>
      </c>
      <c r="G36" s="3">
        <f t="shared" si="9"/>
        <v>109.19999999999999</v>
      </c>
      <c r="H36" s="3">
        <f t="shared" si="10"/>
        <v>150</v>
      </c>
      <c r="I36" s="3">
        <f t="shared" si="11"/>
        <v>16379.999999999998</v>
      </c>
      <c r="J36" s="4"/>
      <c r="K36" s="4"/>
    </row>
    <row r="37" spans="1:11" ht="15.75" customHeight="1">
      <c r="A37" s="3" t="s">
        <v>63</v>
      </c>
      <c r="B37" s="3">
        <v>1</v>
      </c>
      <c r="C37" s="3">
        <v>2.6</v>
      </c>
      <c r="D37" s="3">
        <v>0.35</v>
      </c>
      <c r="E37" s="3">
        <v>0.88</v>
      </c>
      <c r="F37" s="3" t="s">
        <v>6</v>
      </c>
      <c r="G37" s="3">
        <f t="shared" si="9"/>
        <v>0.80079999999999996</v>
      </c>
      <c r="H37" s="3"/>
      <c r="I37" s="3"/>
      <c r="J37" s="4"/>
      <c r="K37" s="4"/>
    </row>
    <row r="38" spans="1:11" ht="15.75" customHeight="1">
      <c r="A38" s="3"/>
      <c r="B38" s="3">
        <v>1</v>
      </c>
      <c r="C38" s="3">
        <v>5.6</v>
      </c>
      <c r="D38" s="3">
        <v>0.35</v>
      </c>
      <c r="E38" s="3">
        <v>0.88</v>
      </c>
      <c r="F38" s="3" t="s">
        <v>6</v>
      </c>
      <c r="G38" s="3">
        <f t="shared" si="9"/>
        <v>1.7247999999999999</v>
      </c>
      <c r="H38" s="3"/>
      <c r="I38" s="3"/>
      <c r="J38" s="4"/>
      <c r="K38" s="4"/>
    </row>
    <row r="39" spans="1:11" ht="15.75" customHeight="1">
      <c r="A39" s="3"/>
      <c r="B39" s="3">
        <v>1</v>
      </c>
      <c r="C39" s="3">
        <v>2.6</v>
      </c>
      <c r="D39" s="3">
        <v>0.23</v>
      </c>
      <c r="E39" s="3">
        <v>0.65</v>
      </c>
      <c r="F39" s="3" t="s">
        <v>6</v>
      </c>
      <c r="G39" s="3">
        <f t="shared" si="9"/>
        <v>0.38870000000000005</v>
      </c>
      <c r="H39" s="3"/>
      <c r="I39" s="3"/>
      <c r="J39" s="4"/>
      <c r="K39" s="4"/>
    </row>
    <row r="40" spans="1:11" ht="15.75" customHeight="1">
      <c r="A40" s="3"/>
      <c r="B40" s="3">
        <v>1</v>
      </c>
      <c r="C40" s="3">
        <v>5.6</v>
      </c>
      <c r="D40" s="3">
        <v>0.23</v>
      </c>
      <c r="E40" s="3">
        <v>0.65</v>
      </c>
      <c r="F40" s="3" t="s">
        <v>6</v>
      </c>
      <c r="G40" s="3">
        <f t="shared" si="9"/>
        <v>0.83720000000000006</v>
      </c>
      <c r="H40" s="3"/>
      <c r="I40" s="3"/>
      <c r="J40" s="4"/>
      <c r="K40" s="4"/>
    </row>
    <row r="41" spans="1:11" ht="15.75" customHeight="1">
      <c r="A41" s="3"/>
      <c r="B41" s="3">
        <v>1</v>
      </c>
      <c r="C41" s="3">
        <v>2.8</v>
      </c>
      <c r="D41" s="3">
        <v>1.9</v>
      </c>
      <c r="E41" s="3">
        <v>0.115</v>
      </c>
      <c r="F41" s="3" t="s">
        <v>6</v>
      </c>
      <c r="G41" s="3">
        <f t="shared" si="9"/>
        <v>0.61180000000000001</v>
      </c>
      <c r="H41" s="3"/>
      <c r="I41" s="3"/>
      <c r="J41" s="4"/>
      <c r="K41" s="4"/>
    </row>
    <row r="42" spans="1:11" ht="15.75" customHeight="1">
      <c r="A42" s="3"/>
      <c r="B42" s="3"/>
      <c r="C42" s="3"/>
      <c r="D42" s="3"/>
      <c r="E42" s="3"/>
      <c r="F42" s="3" t="s">
        <v>6</v>
      </c>
      <c r="G42" s="3">
        <f>SUM(G37:G41)</f>
        <v>4.3632999999999997</v>
      </c>
      <c r="H42" s="3">
        <f t="shared" ref="H42" si="12">H20</f>
        <v>6000</v>
      </c>
      <c r="I42" s="3">
        <f t="shared" ref="I42:I47" si="13">G42*H42</f>
        <v>26179.8</v>
      </c>
      <c r="J42" s="4"/>
      <c r="K42" s="4"/>
    </row>
    <row r="43" spans="1:11" ht="15.75" customHeight="1">
      <c r="A43" s="3" t="s">
        <v>130</v>
      </c>
      <c r="B43" s="3">
        <v>1</v>
      </c>
      <c r="C43" s="3"/>
      <c r="D43" s="3"/>
      <c r="E43" s="3"/>
      <c r="F43" s="3" t="s">
        <v>14</v>
      </c>
      <c r="G43" s="3">
        <v>260</v>
      </c>
      <c r="H43" s="3">
        <f>'Misc work'!H21/10.78</f>
        <v>30</v>
      </c>
      <c r="I43" s="3">
        <f t="shared" si="13"/>
        <v>7800</v>
      </c>
      <c r="J43" s="4"/>
      <c r="K43" s="4"/>
    </row>
    <row r="44" spans="1:11" ht="15.75" customHeight="1">
      <c r="A44" s="3" t="s">
        <v>26</v>
      </c>
      <c r="B44" s="3">
        <v>1</v>
      </c>
      <c r="C44" s="3">
        <v>2.6</v>
      </c>
      <c r="D44" s="3">
        <v>5.6</v>
      </c>
      <c r="E44" s="3">
        <v>0.1</v>
      </c>
      <c r="F44" s="3" t="s">
        <v>6</v>
      </c>
      <c r="G44" s="3">
        <f t="shared" ref="G44:G45" si="14">C44*D44*E44*B44</f>
        <v>1.456</v>
      </c>
      <c r="H44" s="3">
        <f>Summary!F22</f>
        <v>3500</v>
      </c>
      <c r="I44" s="3">
        <f t="shared" si="13"/>
        <v>5096</v>
      </c>
      <c r="J44" s="4"/>
      <c r="K44" s="4"/>
    </row>
    <row r="45" spans="1:11" ht="15.75" customHeight="1">
      <c r="A45" s="3" t="s">
        <v>28</v>
      </c>
      <c r="B45" s="3">
        <v>1</v>
      </c>
      <c r="C45" s="3">
        <v>2.6</v>
      </c>
      <c r="D45" s="3">
        <v>5.6</v>
      </c>
      <c r="E45" s="3">
        <v>0.125</v>
      </c>
      <c r="F45" s="3" t="s">
        <v>6</v>
      </c>
      <c r="G45" s="3">
        <f t="shared" si="14"/>
        <v>1.8199999999999998</v>
      </c>
      <c r="H45" s="3">
        <f t="shared" ref="H45:H46" si="15">H22</f>
        <v>4000</v>
      </c>
      <c r="I45" s="3">
        <f t="shared" si="13"/>
        <v>7279.9999999999991</v>
      </c>
      <c r="J45" s="4"/>
      <c r="K45" s="4"/>
    </row>
    <row r="46" spans="1:11" ht="15.75" customHeight="1">
      <c r="A46" s="3" t="s">
        <v>11</v>
      </c>
      <c r="B46" s="3"/>
      <c r="C46" s="3"/>
      <c r="D46" s="3"/>
      <c r="E46" s="3"/>
      <c r="F46" s="3" t="s">
        <v>12</v>
      </c>
      <c r="G46" s="3">
        <f>B45*C45*D45*10.76*2</f>
        <v>313.33119999999997</v>
      </c>
      <c r="H46" s="3">
        <f t="shared" si="15"/>
        <v>90</v>
      </c>
      <c r="I46" s="3">
        <f t="shared" si="13"/>
        <v>28199.807999999997</v>
      </c>
      <c r="J46" s="4"/>
      <c r="K46" s="4"/>
    </row>
    <row r="47" spans="1:11" ht="15.75" customHeight="1">
      <c r="A47" s="3" t="s">
        <v>153</v>
      </c>
      <c r="B47" s="3">
        <v>1</v>
      </c>
      <c r="C47" s="3">
        <f t="shared" ref="C47:D47" si="16">C45</f>
        <v>2.6</v>
      </c>
      <c r="D47" s="3">
        <f t="shared" si="16"/>
        <v>5.6</v>
      </c>
      <c r="E47" s="3"/>
      <c r="F47" s="3" t="s">
        <v>14</v>
      </c>
      <c r="G47" s="3">
        <f>B47*C47*D47*10.76</f>
        <v>156.66559999999998</v>
      </c>
      <c r="H47" s="3">
        <v>70</v>
      </c>
      <c r="I47" s="3">
        <f t="shared" si="13"/>
        <v>10966.591999999999</v>
      </c>
      <c r="J47" s="4"/>
      <c r="K47" s="4"/>
    </row>
    <row r="48" spans="1:11" ht="15.75" customHeight="1">
      <c r="A48" s="3" t="s">
        <v>17</v>
      </c>
      <c r="B48" s="3">
        <v>1</v>
      </c>
      <c r="C48" s="3"/>
      <c r="D48" s="3"/>
      <c r="E48" s="3"/>
      <c r="F48" s="3" t="s">
        <v>12</v>
      </c>
      <c r="G48" s="3">
        <v>30</v>
      </c>
      <c r="H48" s="3"/>
      <c r="I48" s="3"/>
      <c r="J48" s="4" t="s">
        <v>154</v>
      </c>
      <c r="K48" s="4"/>
    </row>
    <row r="49" spans="1:11" ht="15.75" customHeight="1">
      <c r="A49" s="3" t="s">
        <v>17</v>
      </c>
      <c r="B49" s="3">
        <v>1</v>
      </c>
      <c r="C49" s="3"/>
      <c r="D49" s="3"/>
      <c r="E49" s="3"/>
      <c r="F49" s="3" t="s">
        <v>131</v>
      </c>
      <c r="G49" s="3">
        <f>B49*C49*D49</f>
        <v>0</v>
      </c>
      <c r="H49" s="3">
        <f>800*2*4</f>
        <v>6400</v>
      </c>
      <c r="I49" s="3">
        <f>H49</f>
        <v>6400</v>
      </c>
      <c r="J49" s="4" t="s">
        <v>145</v>
      </c>
      <c r="K49" s="4"/>
    </row>
    <row r="50" spans="1:11" ht="15.75" customHeight="1">
      <c r="A50" s="3" t="s">
        <v>18</v>
      </c>
      <c r="B50" s="3"/>
      <c r="C50" s="3"/>
      <c r="D50" s="3"/>
      <c r="E50" s="3"/>
      <c r="F50" s="3" t="s">
        <v>14</v>
      </c>
      <c r="G50" s="3">
        <v>393.43</v>
      </c>
      <c r="H50" s="3">
        <f>H25</f>
        <v>23</v>
      </c>
      <c r="I50" s="3">
        <f t="shared" ref="I50:I52" si="17">G50*H50</f>
        <v>9048.89</v>
      </c>
      <c r="J50" s="4"/>
      <c r="K50" s="4"/>
    </row>
    <row r="51" spans="1:11" ht="15.75" customHeight="1">
      <c r="A51" s="3" t="s">
        <v>19</v>
      </c>
      <c r="B51" s="3"/>
      <c r="C51" s="3"/>
      <c r="D51" s="3"/>
      <c r="E51" s="3"/>
      <c r="F51" s="3" t="s">
        <v>14</v>
      </c>
      <c r="G51" s="3">
        <v>393.43</v>
      </c>
      <c r="H51" s="3">
        <v>0</v>
      </c>
      <c r="I51" s="3">
        <f t="shared" si="17"/>
        <v>0</v>
      </c>
      <c r="J51" s="4"/>
      <c r="K51" s="4"/>
    </row>
    <row r="52" spans="1:11" ht="15.75" customHeight="1">
      <c r="A52" s="3" t="s">
        <v>74</v>
      </c>
      <c r="B52" s="3">
        <v>1</v>
      </c>
      <c r="C52" s="3"/>
      <c r="D52" s="3"/>
      <c r="E52" s="3"/>
      <c r="F52" s="3" t="s">
        <v>14</v>
      </c>
      <c r="G52" s="3">
        <v>393.43</v>
      </c>
      <c r="H52" s="3">
        <f>Summary!F17</f>
        <v>34</v>
      </c>
      <c r="I52" s="3">
        <f t="shared" si="17"/>
        <v>13376.62</v>
      </c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6">
        <f>SUM(I35:I52)</f>
        <v>132277.51</v>
      </c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34" t="s">
        <v>155</v>
      </c>
      <c r="B56" s="32"/>
      <c r="C56" s="32"/>
      <c r="D56" s="32"/>
      <c r="E56" s="32"/>
      <c r="F56" s="32"/>
      <c r="G56" s="32"/>
      <c r="H56" s="32"/>
      <c r="I56" s="33"/>
      <c r="J56" s="4"/>
      <c r="K56" s="4"/>
    </row>
    <row r="57" spans="1:11" ht="15.75" customHeight="1">
      <c r="A57" s="3"/>
      <c r="B57" s="3" t="s">
        <v>127</v>
      </c>
      <c r="C57" s="3" t="s">
        <v>58</v>
      </c>
      <c r="D57" s="3" t="s">
        <v>59</v>
      </c>
      <c r="E57" s="3" t="s">
        <v>60</v>
      </c>
      <c r="F57" s="3"/>
      <c r="G57" s="3" t="s">
        <v>142</v>
      </c>
      <c r="H57" s="3" t="s">
        <v>4</v>
      </c>
      <c r="I57" s="3" t="s">
        <v>128</v>
      </c>
      <c r="J57" s="4"/>
      <c r="K57" s="4"/>
    </row>
    <row r="58" spans="1:11" ht="15.75" customHeight="1">
      <c r="A58" s="3" t="s">
        <v>24</v>
      </c>
      <c r="B58" s="3">
        <v>1</v>
      </c>
      <c r="C58" s="3">
        <v>1.67</v>
      </c>
      <c r="D58" s="3">
        <v>1.67</v>
      </c>
      <c r="E58" s="3">
        <v>1.65</v>
      </c>
      <c r="F58" s="3" t="s">
        <v>6</v>
      </c>
      <c r="G58" s="3">
        <f>C58*D58*E58*B58</f>
        <v>4.6016849999999998</v>
      </c>
      <c r="H58" s="3">
        <f>H35</f>
        <v>300</v>
      </c>
      <c r="I58" s="3">
        <f t="shared" ref="I58:I59" si="18">G58*H58</f>
        <v>1380.5055</v>
      </c>
      <c r="J58" s="4"/>
      <c r="K58" s="4"/>
    </row>
    <row r="59" spans="1:11" ht="15.75" customHeight="1">
      <c r="A59" s="3" t="s">
        <v>26</v>
      </c>
      <c r="B59" s="3">
        <v>1</v>
      </c>
      <c r="C59" s="3">
        <v>1.67</v>
      </c>
      <c r="D59" s="3">
        <v>1.67</v>
      </c>
      <c r="E59" s="3">
        <v>0.1</v>
      </c>
      <c r="F59" s="3" t="s">
        <v>6</v>
      </c>
      <c r="G59" s="3">
        <f>B59*C59*D59*E59</f>
        <v>0.27889000000000003</v>
      </c>
      <c r="H59" s="3">
        <f>H44</f>
        <v>3500</v>
      </c>
      <c r="I59" s="3">
        <f t="shared" si="18"/>
        <v>976.11500000000012</v>
      </c>
      <c r="J59" s="4"/>
      <c r="K59" s="4"/>
    </row>
    <row r="60" spans="1:11" ht="15.75" customHeight="1">
      <c r="A60" s="3" t="s">
        <v>63</v>
      </c>
      <c r="B60" s="3">
        <v>2</v>
      </c>
      <c r="C60" s="3">
        <v>1.67</v>
      </c>
      <c r="D60" s="3">
        <v>1.65</v>
      </c>
      <c r="E60" s="3">
        <v>0.23</v>
      </c>
      <c r="F60" s="3" t="s">
        <v>6</v>
      </c>
      <c r="G60" s="3">
        <f t="shared" ref="G60:G61" si="19">C60*D60*E60*B60</f>
        <v>1.2675299999999998</v>
      </c>
      <c r="H60" s="3"/>
      <c r="I60" s="3"/>
      <c r="J60" s="4"/>
      <c r="K60" s="4"/>
    </row>
    <row r="61" spans="1:11" ht="15.75" customHeight="1">
      <c r="A61" s="3"/>
      <c r="B61" s="3">
        <v>2</v>
      </c>
      <c r="C61" s="3">
        <v>1.21</v>
      </c>
      <c r="D61" s="3">
        <v>1.65</v>
      </c>
      <c r="E61" s="3">
        <v>0.23</v>
      </c>
      <c r="F61" s="3" t="s">
        <v>6</v>
      </c>
      <c r="G61" s="3">
        <f t="shared" si="19"/>
        <v>0.91839000000000004</v>
      </c>
      <c r="H61" s="3"/>
      <c r="I61" s="3"/>
      <c r="J61" s="4"/>
      <c r="K61" s="4"/>
    </row>
    <row r="62" spans="1:11" ht="15.75" customHeight="1">
      <c r="A62" s="3"/>
      <c r="B62" s="3"/>
      <c r="C62" s="3"/>
      <c r="D62" s="3"/>
      <c r="E62" s="3"/>
      <c r="F62" s="3" t="s">
        <v>6</v>
      </c>
      <c r="G62" s="3">
        <f>SUM(G60:G61)</f>
        <v>2.1859199999999999</v>
      </c>
      <c r="H62" s="3">
        <f t="shared" ref="H62:H63" si="20">H42</f>
        <v>6000</v>
      </c>
      <c r="I62" s="3">
        <f t="shared" ref="I62:I63" si="21">G62*H62</f>
        <v>13115.519999999999</v>
      </c>
      <c r="J62" s="4"/>
      <c r="K62" s="4"/>
    </row>
    <row r="63" spans="1:11" ht="15.75" customHeight="1">
      <c r="A63" s="3" t="s">
        <v>130</v>
      </c>
      <c r="B63" s="3"/>
      <c r="C63" s="3"/>
      <c r="D63" s="3"/>
      <c r="E63" s="3"/>
      <c r="F63" s="3" t="s">
        <v>131</v>
      </c>
      <c r="G63" s="3">
        <v>7.92</v>
      </c>
      <c r="H63" s="3">
        <f t="shared" si="20"/>
        <v>30</v>
      </c>
      <c r="I63" s="3">
        <f t="shared" si="21"/>
        <v>237.6</v>
      </c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3">
        <f>SUM(I58:I63)</f>
        <v>15709.740499999998</v>
      </c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34" t="s">
        <v>156</v>
      </c>
      <c r="B67" s="32"/>
      <c r="C67" s="32"/>
      <c r="D67" s="32"/>
      <c r="E67" s="32"/>
      <c r="F67" s="32"/>
      <c r="G67" s="32"/>
      <c r="H67" s="32"/>
      <c r="I67" s="33"/>
      <c r="J67" s="4"/>
      <c r="K67" s="4"/>
    </row>
    <row r="68" spans="1:11" ht="15.75" customHeight="1">
      <c r="A68" s="3"/>
      <c r="B68" s="3" t="s">
        <v>127</v>
      </c>
      <c r="C68" s="3" t="s">
        <v>58</v>
      </c>
      <c r="D68" s="3" t="s">
        <v>59</v>
      </c>
      <c r="E68" s="3" t="s">
        <v>60</v>
      </c>
      <c r="F68" s="3"/>
      <c r="G68" s="3" t="s">
        <v>142</v>
      </c>
      <c r="H68" s="3" t="s">
        <v>4</v>
      </c>
      <c r="I68" s="3" t="s">
        <v>128</v>
      </c>
      <c r="J68" s="4"/>
      <c r="K68" s="4"/>
    </row>
    <row r="69" spans="1:11" ht="15.75" customHeight="1">
      <c r="A69" s="3" t="s">
        <v>24</v>
      </c>
      <c r="B69" s="3">
        <v>1</v>
      </c>
      <c r="C69" s="3">
        <v>3.66</v>
      </c>
      <c r="D69" s="3">
        <v>0.9</v>
      </c>
      <c r="E69" s="3">
        <v>0.6</v>
      </c>
      <c r="F69" s="3" t="s">
        <v>6</v>
      </c>
      <c r="G69" s="3">
        <f t="shared" ref="G69:G72" si="22">C69*D69*E69*B69</f>
        <v>1.9763999999999999</v>
      </c>
      <c r="H69" s="3">
        <f>H58</f>
        <v>300</v>
      </c>
      <c r="I69" s="3">
        <f>G69*H69</f>
        <v>592.91999999999996</v>
      </c>
      <c r="J69" s="4"/>
      <c r="K69" s="4"/>
    </row>
    <row r="70" spans="1:11" ht="15.75" customHeight="1">
      <c r="A70" s="3" t="s">
        <v>63</v>
      </c>
      <c r="B70" s="3">
        <v>1</v>
      </c>
      <c r="C70" s="3">
        <v>3.66</v>
      </c>
      <c r="D70" s="3">
        <v>0.45</v>
      </c>
      <c r="E70" s="3">
        <v>1.35</v>
      </c>
      <c r="F70" s="3" t="s">
        <v>6</v>
      </c>
      <c r="G70" s="3">
        <f t="shared" si="22"/>
        <v>2.2234500000000001</v>
      </c>
      <c r="H70" s="3"/>
      <c r="I70" s="3"/>
      <c r="J70" s="4"/>
      <c r="K70" s="4"/>
    </row>
    <row r="71" spans="1:11" ht="15.75" customHeight="1">
      <c r="A71" s="3"/>
      <c r="B71" s="3">
        <v>2</v>
      </c>
      <c r="C71" s="3">
        <v>3.66</v>
      </c>
      <c r="D71" s="3">
        <v>1.75</v>
      </c>
      <c r="E71" s="3">
        <v>0.15</v>
      </c>
      <c r="F71" s="3" t="s">
        <v>6</v>
      </c>
      <c r="G71" s="3">
        <f t="shared" si="22"/>
        <v>1.9215</v>
      </c>
      <c r="H71" s="3"/>
      <c r="I71" s="3"/>
      <c r="J71" s="4"/>
      <c r="K71" s="4"/>
    </row>
    <row r="72" spans="1:11" ht="15.75" customHeight="1">
      <c r="A72" s="3"/>
      <c r="B72" s="3">
        <v>2</v>
      </c>
      <c r="C72" s="3">
        <v>1.75</v>
      </c>
      <c r="D72" s="3">
        <v>0.35</v>
      </c>
      <c r="E72" s="3">
        <v>0.23</v>
      </c>
      <c r="F72" s="3" t="s">
        <v>6</v>
      </c>
      <c r="G72" s="3">
        <f t="shared" si="22"/>
        <v>0.28175</v>
      </c>
      <c r="H72" s="3"/>
      <c r="I72" s="3"/>
      <c r="J72" s="4"/>
      <c r="K72" s="4"/>
    </row>
    <row r="73" spans="1:11" ht="15.75" customHeight="1">
      <c r="A73" s="3"/>
      <c r="B73" s="3"/>
      <c r="C73" s="3"/>
      <c r="D73" s="3"/>
      <c r="E73" s="3"/>
      <c r="F73" s="3" t="s">
        <v>6</v>
      </c>
      <c r="G73" s="3">
        <f>SUM(G70:G72)</f>
        <v>4.4266999999999994</v>
      </c>
      <c r="H73" s="3">
        <f>H62</f>
        <v>6000</v>
      </c>
      <c r="I73" s="3">
        <f t="shared" ref="I73:I74" si="23">G73*H73</f>
        <v>26560.199999999997</v>
      </c>
      <c r="J73" s="4"/>
      <c r="K73" s="4"/>
    </row>
    <row r="74" spans="1:11" ht="15.75" customHeight="1">
      <c r="A74" s="3" t="s">
        <v>130</v>
      </c>
      <c r="B74" s="3"/>
      <c r="C74" s="3"/>
      <c r="D74" s="3"/>
      <c r="E74" s="3"/>
      <c r="F74" s="3" t="s">
        <v>14</v>
      </c>
      <c r="G74" s="3">
        <v>206</v>
      </c>
      <c r="H74" s="3">
        <f>Summary!F7</f>
        <v>30</v>
      </c>
      <c r="I74" s="3">
        <f t="shared" si="23"/>
        <v>6180</v>
      </c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3">
        <f>SUM(I69:I74)</f>
        <v>33333.119999999995</v>
      </c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34" t="s">
        <v>157</v>
      </c>
      <c r="B78" s="32"/>
      <c r="C78" s="32"/>
      <c r="D78" s="32"/>
      <c r="E78" s="32"/>
      <c r="F78" s="32"/>
      <c r="G78" s="32"/>
      <c r="H78" s="32"/>
      <c r="I78" s="33"/>
      <c r="J78" s="4"/>
      <c r="K78" s="4"/>
    </row>
    <row r="79" spans="1:11" ht="15.75" customHeight="1">
      <c r="A79" s="3"/>
      <c r="B79" s="3" t="s">
        <v>127</v>
      </c>
      <c r="C79" s="3" t="s">
        <v>58</v>
      </c>
      <c r="D79" s="3" t="s">
        <v>59</v>
      </c>
      <c r="E79" s="3" t="s">
        <v>60</v>
      </c>
      <c r="F79" s="3"/>
      <c r="G79" s="3" t="s">
        <v>142</v>
      </c>
      <c r="H79" s="3" t="s">
        <v>4</v>
      </c>
      <c r="I79" s="3" t="s">
        <v>128</v>
      </c>
      <c r="J79" s="4"/>
      <c r="K79" s="4"/>
    </row>
    <row r="80" spans="1:11" ht="15.75" customHeight="1">
      <c r="A80" s="3" t="s">
        <v>63</v>
      </c>
      <c r="B80" s="3">
        <v>2</v>
      </c>
      <c r="C80" s="3">
        <v>6.75</v>
      </c>
      <c r="D80" s="3">
        <v>0.35</v>
      </c>
      <c r="E80" s="3">
        <v>0.57999999999999996</v>
      </c>
      <c r="F80" s="3" t="s">
        <v>6</v>
      </c>
      <c r="G80" s="3">
        <f>C80*D80*E80*B80</f>
        <v>2.7404999999999995</v>
      </c>
      <c r="H80" s="3"/>
      <c r="I80" s="3"/>
      <c r="J80" s="4"/>
      <c r="K80" s="4"/>
    </row>
    <row r="81" spans="1:11" ht="15.75" customHeight="1">
      <c r="A81" s="3"/>
      <c r="B81" s="3"/>
      <c r="C81" s="3"/>
      <c r="D81" s="3"/>
      <c r="E81" s="3"/>
      <c r="F81" s="3" t="s">
        <v>6</v>
      </c>
      <c r="G81" s="3">
        <f>SUM(G80)</f>
        <v>2.7404999999999995</v>
      </c>
      <c r="H81" s="3">
        <f>Summary!F6</f>
        <v>6000</v>
      </c>
      <c r="I81" s="3">
        <f t="shared" ref="I81:I82" si="24">G81*H81</f>
        <v>16442.999999999996</v>
      </c>
      <c r="J81" s="4"/>
      <c r="K81" s="4"/>
    </row>
    <row r="82" spans="1:11" ht="15.75" customHeight="1">
      <c r="A82" s="3" t="s">
        <v>130</v>
      </c>
      <c r="B82" s="3"/>
      <c r="C82" s="3"/>
      <c r="D82" s="3"/>
      <c r="E82" s="3"/>
      <c r="F82" s="3" t="s">
        <v>14</v>
      </c>
      <c r="G82" s="3">
        <v>213.47</v>
      </c>
      <c r="H82" s="3">
        <f>Summary!F7</f>
        <v>30</v>
      </c>
      <c r="I82" s="3">
        <f t="shared" si="24"/>
        <v>6404.1</v>
      </c>
      <c r="J82" s="4"/>
      <c r="K82" s="4"/>
    </row>
    <row r="83" spans="1:11" ht="15.75" customHeight="1">
      <c r="A83" s="3" t="s">
        <v>158</v>
      </c>
      <c r="B83" s="3"/>
      <c r="C83" s="3"/>
      <c r="D83" s="3"/>
      <c r="E83" s="3"/>
      <c r="F83" s="3"/>
      <c r="G83" s="3"/>
      <c r="H83" s="3"/>
      <c r="I83" s="3">
        <f>4*500</f>
        <v>2000</v>
      </c>
      <c r="J83" s="4"/>
      <c r="K83" s="4"/>
    </row>
    <row r="84" spans="1:11" ht="15.75" customHeight="1">
      <c r="A84" s="3" t="s">
        <v>159</v>
      </c>
      <c r="B84" s="3"/>
      <c r="C84" s="3"/>
      <c r="D84" s="3"/>
      <c r="E84" s="3"/>
      <c r="F84" s="3"/>
      <c r="G84" s="3"/>
      <c r="H84" s="3"/>
      <c r="I84" s="3">
        <f>3500</f>
        <v>3500</v>
      </c>
      <c r="J84" s="4" t="s">
        <v>160</v>
      </c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6">
        <f>SUM(I80:I84)</f>
        <v>28347.1</v>
      </c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34" t="s">
        <v>53</v>
      </c>
      <c r="B88" s="32"/>
      <c r="C88" s="32"/>
      <c r="D88" s="32"/>
      <c r="E88" s="32"/>
      <c r="F88" s="32"/>
      <c r="G88" s="32"/>
      <c r="H88" s="32"/>
      <c r="I88" s="33"/>
      <c r="J88" s="4"/>
      <c r="K88" s="4"/>
    </row>
    <row r="89" spans="1:11" ht="15.75" customHeight="1">
      <c r="A89" s="3"/>
      <c r="B89" s="3" t="s">
        <v>127</v>
      </c>
      <c r="C89" s="3" t="s">
        <v>58</v>
      </c>
      <c r="D89" s="3" t="s">
        <v>59</v>
      </c>
      <c r="E89" s="3" t="s">
        <v>60</v>
      </c>
      <c r="F89" s="3"/>
      <c r="G89" s="3" t="s">
        <v>61</v>
      </c>
      <c r="H89" s="3" t="s">
        <v>4</v>
      </c>
      <c r="I89" s="3" t="s">
        <v>128</v>
      </c>
      <c r="J89" s="4"/>
      <c r="K89" s="4"/>
    </row>
    <row r="90" spans="1:11" ht="15.75" customHeight="1">
      <c r="A90" s="3" t="s">
        <v>63</v>
      </c>
      <c r="B90" s="3">
        <v>4</v>
      </c>
      <c r="C90" s="3">
        <v>1.7</v>
      </c>
      <c r="D90" s="3">
        <v>0.85</v>
      </c>
      <c r="E90" s="3">
        <v>0.35</v>
      </c>
      <c r="F90" s="3" t="s">
        <v>6</v>
      </c>
      <c r="G90" s="3">
        <f>C90*D90*E90*B90</f>
        <v>2.0229999999999997</v>
      </c>
      <c r="H90" s="3"/>
      <c r="I90" s="3"/>
      <c r="J90" s="4"/>
      <c r="K90" s="4"/>
    </row>
    <row r="91" spans="1:11" ht="15.75" customHeight="1">
      <c r="A91" s="3"/>
      <c r="B91" s="3"/>
      <c r="C91" s="3"/>
      <c r="D91" s="3"/>
      <c r="E91" s="3"/>
      <c r="F91" s="3" t="s">
        <v>6</v>
      </c>
      <c r="G91" s="3">
        <f>SUM(G90)</f>
        <v>2.0229999999999997</v>
      </c>
      <c r="H91" s="3">
        <f t="shared" ref="H91:H92" si="25">H81</f>
        <v>6000</v>
      </c>
      <c r="I91" s="3">
        <f t="shared" ref="I91:I92" si="26">G91*H91</f>
        <v>12137.999999999998</v>
      </c>
      <c r="J91" s="4"/>
      <c r="K91" s="4"/>
    </row>
    <row r="92" spans="1:11" ht="15.75" customHeight="1">
      <c r="A92" s="3" t="s">
        <v>130</v>
      </c>
      <c r="B92" s="3"/>
      <c r="C92" s="3"/>
      <c r="D92" s="3"/>
      <c r="E92" s="3"/>
      <c r="F92" s="3" t="s">
        <v>14</v>
      </c>
      <c r="G92" s="3">
        <v>201.85</v>
      </c>
      <c r="H92" s="3">
        <f t="shared" si="25"/>
        <v>30</v>
      </c>
      <c r="I92" s="3">
        <f t="shared" si="26"/>
        <v>6055.5</v>
      </c>
      <c r="J92" s="4"/>
      <c r="K92" s="4"/>
    </row>
    <row r="93" spans="1:11" ht="15.75" customHeight="1">
      <c r="A93" s="3" t="s">
        <v>161</v>
      </c>
      <c r="B93" s="3"/>
      <c r="C93" s="3"/>
      <c r="D93" s="3"/>
      <c r="E93" s="3"/>
      <c r="F93" s="3"/>
      <c r="G93" s="3"/>
      <c r="H93" s="3"/>
      <c r="I93" s="3">
        <v>2000</v>
      </c>
      <c r="J93" s="4" t="s">
        <v>162</v>
      </c>
      <c r="K93" s="4"/>
    </row>
    <row r="94" spans="1:11" ht="15.75" customHeight="1">
      <c r="A94" s="3" t="s">
        <v>16</v>
      </c>
      <c r="B94" s="3">
        <v>1</v>
      </c>
      <c r="C94" s="3">
        <v>3.35</v>
      </c>
      <c r="D94" s="3">
        <v>0.95</v>
      </c>
      <c r="E94" s="3"/>
      <c r="F94" s="3"/>
      <c r="G94" s="3">
        <f>C94*D94*B94</f>
        <v>3.1825000000000001</v>
      </c>
      <c r="H94" s="3">
        <f>Summary!F13</f>
        <v>110</v>
      </c>
      <c r="I94" s="3">
        <f>G94*10.76*H94</f>
        <v>3766.8069999999998</v>
      </c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3">
        <f>SUM(I90:I94)</f>
        <v>23960.307000000001</v>
      </c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34" t="s">
        <v>163</v>
      </c>
      <c r="B99" s="32"/>
      <c r="C99" s="32"/>
      <c r="D99" s="32"/>
      <c r="E99" s="32"/>
      <c r="F99" s="32"/>
      <c r="G99" s="32"/>
      <c r="H99" s="32"/>
      <c r="I99" s="33"/>
      <c r="J99" s="4"/>
      <c r="K99" s="4"/>
    </row>
    <row r="100" spans="1:11" ht="15.75" customHeight="1">
      <c r="A100" s="3"/>
      <c r="B100" s="3" t="s">
        <v>127</v>
      </c>
      <c r="C100" s="3" t="s">
        <v>58</v>
      </c>
      <c r="D100" s="3" t="s">
        <v>59</v>
      </c>
      <c r="E100" s="3" t="s">
        <v>60</v>
      </c>
      <c r="F100" s="3"/>
      <c r="G100" s="3" t="s">
        <v>61</v>
      </c>
      <c r="H100" s="3" t="s">
        <v>4</v>
      </c>
      <c r="I100" s="3" t="s">
        <v>128</v>
      </c>
      <c r="J100" s="4"/>
      <c r="K100" s="4"/>
    </row>
    <row r="101" spans="1:11" ht="15.75" customHeight="1">
      <c r="A101" s="3" t="s">
        <v>18</v>
      </c>
      <c r="B101" s="3"/>
      <c r="C101" s="3">
        <v>4.4000000000000004</v>
      </c>
      <c r="D101" s="3">
        <v>3.3</v>
      </c>
      <c r="E101" s="3"/>
      <c r="F101" s="3" t="s">
        <v>14</v>
      </c>
      <c r="G101" s="3">
        <f>C101*D101*10.76</f>
        <v>156.23519999999999</v>
      </c>
      <c r="H101" s="3">
        <f>H50</f>
        <v>23</v>
      </c>
      <c r="I101" s="3">
        <f t="shared" ref="I101:I104" si="27">G101*H101</f>
        <v>3593.4096</v>
      </c>
      <c r="J101" s="4"/>
      <c r="K101" s="4"/>
    </row>
    <row r="102" spans="1:11" ht="15.75" customHeight="1">
      <c r="A102" s="3" t="s">
        <v>19</v>
      </c>
      <c r="B102" s="3"/>
      <c r="C102" s="3"/>
      <c r="D102" s="3"/>
      <c r="E102" s="3"/>
      <c r="F102" s="3" t="s">
        <v>14</v>
      </c>
      <c r="G102" s="3">
        <f>G101</f>
        <v>156.23519999999999</v>
      </c>
      <c r="H102" s="3">
        <v>0</v>
      </c>
      <c r="I102" s="3">
        <f t="shared" si="27"/>
        <v>0</v>
      </c>
      <c r="J102" s="4"/>
      <c r="K102" s="4"/>
    </row>
    <row r="103" spans="1:11" ht="15.75" customHeight="1">
      <c r="A103" s="3" t="s">
        <v>74</v>
      </c>
      <c r="B103" s="3"/>
      <c r="C103" s="3"/>
      <c r="D103" s="3"/>
      <c r="E103" s="3"/>
      <c r="F103" s="3" t="s">
        <v>14</v>
      </c>
      <c r="G103" s="3">
        <f>G101</f>
        <v>156.23519999999999</v>
      </c>
      <c r="H103" s="3">
        <f>Summary!F18</f>
        <v>60</v>
      </c>
      <c r="I103" s="3">
        <f t="shared" si="27"/>
        <v>9374.1119999999992</v>
      </c>
      <c r="J103" s="4"/>
      <c r="K103" s="4"/>
    </row>
    <row r="104" spans="1:11" ht="15.75" customHeight="1">
      <c r="A104" s="3" t="s">
        <v>164</v>
      </c>
      <c r="B104" s="3"/>
      <c r="C104" s="3"/>
      <c r="D104" s="3"/>
      <c r="E104" s="3"/>
      <c r="F104" s="3" t="s">
        <v>12</v>
      </c>
      <c r="G104" s="3">
        <v>105</v>
      </c>
      <c r="H104" s="3">
        <f>Summary!F14</f>
        <v>130</v>
      </c>
      <c r="I104" s="3">
        <f t="shared" si="27"/>
        <v>13650</v>
      </c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6">
        <f>SUM(I101:I104)</f>
        <v>26617.5216</v>
      </c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34" t="s">
        <v>165</v>
      </c>
      <c r="B108" s="32"/>
      <c r="C108" s="32"/>
      <c r="D108" s="32"/>
      <c r="E108" s="32"/>
      <c r="F108" s="32"/>
      <c r="G108" s="32"/>
      <c r="H108" s="32"/>
      <c r="I108" s="33"/>
      <c r="J108" s="4"/>
      <c r="K108" s="4"/>
    </row>
    <row r="109" spans="1:11" ht="15.75" customHeight="1">
      <c r="A109" s="3"/>
      <c r="B109" s="3" t="s">
        <v>127</v>
      </c>
      <c r="C109" s="3" t="s">
        <v>58</v>
      </c>
      <c r="D109" s="3" t="s">
        <v>59</v>
      </c>
      <c r="E109" s="3" t="s">
        <v>60</v>
      </c>
      <c r="F109" s="3" t="s">
        <v>3</v>
      </c>
      <c r="G109" s="3" t="s">
        <v>61</v>
      </c>
      <c r="H109" s="3" t="s">
        <v>4</v>
      </c>
      <c r="I109" s="3" t="s">
        <v>128</v>
      </c>
      <c r="J109" s="4"/>
      <c r="K109" s="4"/>
    </row>
    <row r="110" spans="1:11" ht="15.75" customHeight="1">
      <c r="A110" s="3" t="s">
        <v>27</v>
      </c>
      <c r="B110" s="3">
        <v>1</v>
      </c>
      <c r="C110" s="3">
        <v>8.99</v>
      </c>
      <c r="D110" s="3">
        <v>2.89</v>
      </c>
      <c r="E110" s="3"/>
      <c r="F110" s="3" t="s">
        <v>14</v>
      </c>
      <c r="G110" s="3">
        <f t="shared" ref="G110:G130" si="28">C110*D110*10.78</f>
        <v>280.076258</v>
      </c>
      <c r="H110" s="3">
        <v>110</v>
      </c>
      <c r="I110" s="3">
        <f t="shared" ref="I110:I130" si="29">G110*H110</f>
        <v>30808.38838</v>
      </c>
      <c r="J110" s="4"/>
      <c r="K110" s="4"/>
    </row>
    <row r="111" spans="1:11" ht="15.75" customHeight="1">
      <c r="A111" s="35" t="s">
        <v>53</v>
      </c>
      <c r="B111" s="3">
        <v>1</v>
      </c>
      <c r="C111" s="3">
        <v>2.0750000000000002</v>
      </c>
      <c r="D111" s="3">
        <v>3</v>
      </c>
      <c r="E111" s="3"/>
      <c r="F111" s="3" t="s">
        <v>14</v>
      </c>
      <c r="G111" s="3">
        <f t="shared" si="28"/>
        <v>67.105500000000006</v>
      </c>
      <c r="H111" s="3">
        <v>90</v>
      </c>
      <c r="I111" s="3">
        <f t="shared" si="29"/>
        <v>6039.4950000000008</v>
      </c>
      <c r="J111" s="4"/>
      <c r="K111" s="4"/>
    </row>
    <row r="112" spans="1:11" ht="15.75" customHeight="1">
      <c r="A112" s="36"/>
      <c r="B112" s="3">
        <v>1</v>
      </c>
      <c r="C112" s="3">
        <v>1.6</v>
      </c>
      <c r="D112" s="3">
        <v>3</v>
      </c>
      <c r="E112" s="3"/>
      <c r="F112" s="3" t="s">
        <v>14</v>
      </c>
      <c r="G112" s="3">
        <f t="shared" si="28"/>
        <v>51.744000000000007</v>
      </c>
      <c r="H112" s="3">
        <v>90</v>
      </c>
      <c r="I112" s="3">
        <f t="shared" si="29"/>
        <v>4656.9600000000009</v>
      </c>
      <c r="J112" s="4"/>
      <c r="K112" s="4"/>
    </row>
    <row r="113" spans="1:11" ht="15.75" customHeight="1">
      <c r="A113" s="36"/>
      <c r="B113" s="3">
        <v>1</v>
      </c>
      <c r="C113" s="3">
        <v>1.55</v>
      </c>
      <c r="D113" s="3">
        <v>3</v>
      </c>
      <c r="E113" s="3"/>
      <c r="F113" s="3" t="s">
        <v>14</v>
      </c>
      <c r="G113" s="3">
        <f t="shared" si="28"/>
        <v>50.127000000000002</v>
      </c>
      <c r="H113" s="3">
        <v>90</v>
      </c>
      <c r="I113" s="3">
        <f t="shared" si="29"/>
        <v>4511.43</v>
      </c>
      <c r="J113" s="4"/>
      <c r="K113" s="4"/>
    </row>
    <row r="114" spans="1:11" ht="15.75" customHeight="1">
      <c r="A114" s="36"/>
      <c r="B114" s="3">
        <v>1</v>
      </c>
      <c r="C114" s="3">
        <v>1.45</v>
      </c>
      <c r="D114" s="3">
        <v>3</v>
      </c>
      <c r="E114" s="3"/>
      <c r="F114" s="3" t="s">
        <v>14</v>
      </c>
      <c r="G114" s="3">
        <f t="shared" si="28"/>
        <v>46.892999999999994</v>
      </c>
      <c r="H114" s="3">
        <v>90</v>
      </c>
      <c r="I114" s="3">
        <f t="shared" si="29"/>
        <v>4220.369999999999</v>
      </c>
      <c r="J114" s="4"/>
      <c r="K114" s="4"/>
    </row>
    <row r="115" spans="1:11" ht="15.75" customHeight="1">
      <c r="A115" s="36"/>
      <c r="B115" s="3">
        <v>1</v>
      </c>
      <c r="C115" s="3">
        <v>1.45</v>
      </c>
      <c r="D115" s="3">
        <v>3</v>
      </c>
      <c r="E115" s="3"/>
      <c r="F115" s="3" t="s">
        <v>14</v>
      </c>
      <c r="G115" s="3">
        <f t="shared" si="28"/>
        <v>46.892999999999994</v>
      </c>
      <c r="H115" s="3">
        <v>90</v>
      </c>
      <c r="I115" s="3">
        <f t="shared" si="29"/>
        <v>4220.369999999999</v>
      </c>
      <c r="J115" s="4"/>
      <c r="K115" s="4"/>
    </row>
    <row r="116" spans="1:11" ht="15.75" customHeight="1">
      <c r="A116" s="36"/>
      <c r="B116" s="3">
        <v>1</v>
      </c>
      <c r="C116" s="3">
        <v>1.84</v>
      </c>
      <c r="D116" s="3">
        <v>3</v>
      </c>
      <c r="E116" s="3"/>
      <c r="F116" s="3" t="s">
        <v>14</v>
      </c>
      <c r="G116" s="3">
        <f t="shared" si="28"/>
        <v>59.505600000000001</v>
      </c>
      <c r="H116" s="3">
        <v>90</v>
      </c>
      <c r="I116" s="3">
        <f t="shared" si="29"/>
        <v>5355.5039999999999</v>
      </c>
      <c r="J116" s="4"/>
      <c r="K116" s="4"/>
    </row>
    <row r="117" spans="1:11" ht="15.75" customHeight="1">
      <c r="A117" s="36"/>
      <c r="B117" s="3">
        <v>1</v>
      </c>
      <c r="C117" s="3">
        <v>1.76</v>
      </c>
      <c r="D117" s="3">
        <v>3</v>
      </c>
      <c r="E117" s="3"/>
      <c r="F117" s="3" t="s">
        <v>14</v>
      </c>
      <c r="G117" s="3">
        <f t="shared" si="28"/>
        <v>56.918399999999998</v>
      </c>
      <c r="H117" s="3">
        <v>90</v>
      </c>
      <c r="I117" s="3">
        <f t="shared" si="29"/>
        <v>5122.6559999999999</v>
      </c>
      <c r="J117" s="4"/>
      <c r="K117" s="4"/>
    </row>
    <row r="118" spans="1:11" ht="15.75" customHeight="1">
      <c r="A118" s="36"/>
      <c r="B118" s="3">
        <v>1</v>
      </c>
      <c r="C118" s="3">
        <v>1.23</v>
      </c>
      <c r="D118" s="3">
        <v>3.5</v>
      </c>
      <c r="E118" s="3"/>
      <c r="F118" s="3" t="s">
        <v>14</v>
      </c>
      <c r="G118" s="3">
        <f t="shared" si="28"/>
        <v>46.407899999999991</v>
      </c>
      <c r="H118" s="3">
        <v>90</v>
      </c>
      <c r="I118" s="3">
        <f t="shared" si="29"/>
        <v>4176.7109999999993</v>
      </c>
      <c r="J118" s="4"/>
      <c r="K118" s="4"/>
    </row>
    <row r="119" spans="1:11" ht="15.75" customHeight="1">
      <c r="A119" s="36"/>
      <c r="B119" s="3">
        <v>1</v>
      </c>
      <c r="C119" s="3">
        <v>1.85</v>
      </c>
      <c r="D119" s="3">
        <v>2.7</v>
      </c>
      <c r="E119" s="3"/>
      <c r="F119" s="3" t="s">
        <v>14</v>
      </c>
      <c r="G119" s="3">
        <f t="shared" si="28"/>
        <v>53.846100000000007</v>
      </c>
      <c r="H119" s="3">
        <v>90</v>
      </c>
      <c r="I119" s="3">
        <f t="shared" si="29"/>
        <v>4846.1490000000003</v>
      </c>
      <c r="J119" s="4"/>
      <c r="K119" s="4"/>
    </row>
    <row r="120" spans="1:11" ht="15.75" customHeight="1">
      <c r="A120" s="36"/>
      <c r="B120" s="3">
        <v>1</v>
      </c>
      <c r="C120" s="3">
        <v>1.06</v>
      </c>
      <c r="D120" s="3">
        <v>3</v>
      </c>
      <c r="E120" s="3"/>
      <c r="F120" s="3" t="s">
        <v>14</v>
      </c>
      <c r="G120" s="3">
        <f t="shared" si="28"/>
        <v>34.2804</v>
      </c>
      <c r="H120" s="3">
        <v>90</v>
      </c>
      <c r="I120" s="3">
        <f t="shared" si="29"/>
        <v>3085.2359999999999</v>
      </c>
      <c r="J120" s="4"/>
      <c r="K120" s="4"/>
    </row>
    <row r="121" spans="1:11" ht="15.75" customHeight="1">
      <c r="A121" s="36"/>
      <c r="B121" s="3">
        <v>1</v>
      </c>
      <c r="C121" s="3">
        <v>0.91</v>
      </c>
      <c r="D121" s="3">
        <v>3</v>
      </c>
      <c r="E121" s="3"/>
      <c r="F121" s="3" t="s">
        <v>14</v>
      </c>
      <c r="G121" s="3">
        <f t="shared" si="28"/>
        <v>29.429399999999998</v>
      </c>
      <c r="H121" s="3">
        <v>90</v>
      </c>
      <c r="I121" s="3">
        <f t="shared" si="29"/>
        <v>2648.6459999999997</v>
      </c>
      <c r="J121" s="4"/>
      <c r="K121" s="4"/>
    </row>
    <row r="122" spans="1:11" ht="15.75" customHeight="1">
      <c r="A122" s="36"/>
      <c r="B122" s="3">
        <v>1</v>
      </c>
      <c r="C122" s="3">
        <v>0.9</v>
      </c>
      <c r="D122" s="3">
        <v>3</v>
      </c>
      <c r="E122" s="3"/>
      <c r="F122" s="3" t="s">
        <v>14</v>
      </c>
      <c r="G122" s="3">
        <f t="shared" si="28"/>
        <v>29.106000000000002</v>
      </c>
      <c r="H122" s="3">
        <v>90</v>
      </c>
      <c r="I122" s="3">
        <f t="shared" si="29"/>
        <v>2619.54</v>
      </c>
      <c r="J122" s="4"/>
      <c r="K122" s="4"/>
    </row>
    <row r="123" spans="1:11" ht="15.75" customHeight="1">
      <c r="A123" s="36"/>
      <c r="B123" s="3">
        <v>1</v>
      </c>
      <c r="C123" s="3">
        <v>0.91500000000000004</v>
      </c>
      <c r="D123" s="3">
        <v>3</v>
      </c>
      <c r="E123" s="3"/>
      <c r="F123" s="3" t="s">
        <v>14</v>
      </c>
      <c r="G123" s="3">
        <f t="shared" si="28"/>
        <v>29.591100000000001</v>
      </c>
      <c r="H123" s="3">
        <v>90</v>
      </c>
      <c r="I123" s="3">
        <f t="shared" si="29"/>
        <v>2663.1990000000001</v>
      </c>
      <c r="J123" s="4"/>
      <c r="K123" s="4"/>
    </row>
    <row r="124" spans="1:11" ht="15.75" customHeight="1">
      <c r="A124" s="36"/>
      <c r="B124" s="3">
        <v>1</v>
      </c>
      <c r="C124" s="3">
        <v>0.92500000000000004</v>
      </c>
      <c r="D124" s="3">
        <v>5.5</v>
      </c>
      <c r="E124" s="3"/>
      <c r="F124" s="3" t="s">
        <v>14</v>
      </c>
      <c r="G124" s="3">
        <f t="shared" si="28"/>
        <v>54.843249999999998</v>
      </c>
      <c r="H124" s="3">
        <v>90</v>
      </c>
      <c r="I124" s="3">
        <f t="shared" si="29"/>
        <v>4935.8924999999999</v>
      </c>
      <c r="J124" s="4"/>
      <c r="K124" s="4"/>
    </row>
    <row r="125" spans="1:11" ht="15.75" customHeight="1">
      <c r="A125" s="36"/>
      <c r="B125" s="3">
        <v>1</v>
      </c>
      <c r="C125" s="3">
        <v>1.375</v>
      </c>
      <c r="D125" s="3">
        <v>4.9800000000000004</v>
      </c>
      <c r="E125" s="3"/>
      <c r="F125" s="3" t="s">
        <v>14</v>
      </c>
      <c r="G125" s="3">
        <f t="shared" si="28"/>
        <v>73.816050000000004</v>
      </c>
      <c r="H125" s="3">
        <v>90</v>
      </c>
      <c r="I125" s="3">
        <f t="shared" si="29"/>
        <v>6643.4445000000005</v>
      </c>
      <c r="J125" s="4"/>
      <c r="K125" s="4"/>
    </row>
    <row r="126" spans="1:11" ht="15.75" customHeight="1">
      <c r="A126" s="36"/>
      <c r="B126" s="3">
        <v>1</v>
      </c>
      <c r="C126" s="3">
        <v>1.1499999999999999</v>
      </c>
      <c r="D126" s="3">
        <v>4</v>
      </c>
      <c r="E126" s="3"/>
      <c r="F126" s="3" t="s">
        <v>14</v>
      </c>
      <c r="G126" s="3">
        <f t="shared" si="28"/>
        <v>49.587999999999994</v>
      </c>
      <c r="H126" s="3">
        <v>90</v>
      </c>
      <c r="I126" s="3">
        <f t="shared" si="29"/>
        <v>4462.9199999999992</v>
      </c>
      <c r="J126" s="4"/>
      <c r="K126" s="4"/>
    </row>
    <row r="127" spans="1:11" ht="15.75" customHeight="1">
      <c r="A127" s="36"/>
      <c r="B127" s="3">
        <v>1</v>
      </c>
      <c r="C127" s="3">
        <v>1.875</v>
      </c>
      <c r="D127" s="3">
        <v>3.5</v>
      </c>
      <c r="E127" s="3"/>
      <c r="F127" s="3" t="s">
        <v>14</v>
      </c>
      <c r="G127" s="3">
        <f t="shared" si="28"/>
        <v>70.743749999999991</v>
      </c>
      <c r="H127" s="3">
        <v>90</v>
      </c>
      <c r="I127" s="3">
        <f t="shared" si="29"/>
        <v>6366.9374999999991</v>
      </c>
      <c r="J127" s="4"/>
      <c r="K127" s="4"/>
    </row>
    <row r="128" spans="1:11" ht="15.75" customHeight="1">
      <c r="A128" s="36"/>
      <c r="B128" s="3">
        <v>1</v>
      </c>
      <c r="C128" s="3">
        <v>1.45</v>
      </c>
      <c r="D128" s="3">
        <v>3</v>
      </c>
      <c r="E128" s="3"/>
      <c r="F128" s="3" t="s">
        <v>14</v>
      </c>
      <c r="G128" s="3">
        <f t="shared" si="28"/>
        <v>46.892999999999994</v>
      </c>
      <c r="H128" s="3">
        <v>90</v>
      </c>
      <c r="I128" s="3">
        <f t="shared" si="29"/>
        <v>4220.369999999999</v>
      </c>
      <c r="J128" s="4"/>
      <c r="K128" s="4"/>
    </row>
    <row r="129" spans="1:11" ht="15.75" customHeight="1">
      <c r="A129" s="36"/>
      <c r="B129" s="3">
        <v>1</v>
      </c>
      <c r="C129" s="3">
        <v>1.175</v>
      </c>
      <c r="D129" s="3">
        <v>4.5</v>
      </c>
      <c r="E129" s="3"/>
      <c r="F129" s="3" t="s">
        <v>14</v>
      </c>
      <c r="G129" s="3">
        <f t="shared" si="28"/>
        <v>56.999250000000004</v>
      </c>
      <c r="H129" s="3">
        <v>90</v>
      </c>
      <c r="I129" s="3">
        <f t="shared" si="29"/>
        <v>5129.9324999999999</v>
      </c>
      <c r="J129" s="4"/>
      <c r="K129" s="4"/>
    </row>
    <row r="130" spans="1:11" ht="15.75" customHeight="1">
      <c r="A130" s="37"/>
      <c r="B130" s="3">
        <v>1</v>
      </c>
      <c r="C130" s="3">
        <v>2.92</v>
      </c>
      <c r="D130" s="3">
        <v>3.5</v>
      </c>
      <c r="E130" s="3"/>
      <c r="F130" s="3" t="s">
        <v>14</v>
      </c>
      <c r="G130" s="3">
        <f t="shared" si="28"/>
        <v>110.17159999999998</v>
      </c>
      <c r="H130" s="3">
        <v>90</v>
      </c>
      <c r="I130" s="3">
        <f t="shared" si="29"/>
        <v>9915.4439999999977</v>
      </c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3">
        <f>SUM(I110:I130)</f>
        <v>126649.59537999997</v>
      </c>
      <c r="J131" s="4"/>
      <c r="K131" s="4"/>
    </row>
    <row r="132" spans="1:11" ht="15.75" customHeight="1">
      <c r="A132" s="4"/>
      <c r="B132" s="38" t="s">
        <v>166</v>
      </c>
      <c r="C132" s="39"/>
      <c r="D132" s="39"/>
      <c r="E132" s="39"/>
      <c r="F132" s="39"/>
      <c r="G132" s="39"/>
      <c r="H132" s="40"/>
      <c r="I132" s="4"/>
      <c r="J132" s="4"/>
      <c r="K132" s="4"/>
    </row>
    <row r="133" spans="1:11" ht="15.75" customHeight="1">
      <c r="A133" s="4"/>
      <c r="B133" s="41"/>
      <c r="C133" s="42"/>
      <c r="D133" s="42"/>
      <c r="E133" s="42"/>
      <c r="F133" s="42"/>
      <c r="G133" s="42"/>
      <c r="H133" s="43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34" t="s">
        <v>167</v>
      </c>
      <c r="B136" s="32"/>
      <c r="C136" s="32"/>
      <c r="D136" s="32"/>
      <c r="E136" s="32"/>
      <c r="F136" s="32"/>
      <c r="G136" s="32"/>
      <c r="H136" s="32"/>
      <c r="I136" s="33"/>
      <c r="J136" s="4"/>
      <c r="K136" s="4"/>
    </row>
    <row r="137" spans="1:11" ht="15.75" customHeight="1">
      <c r="A137" s="3"/>
      <c r="B137" s="3" t="s">
        <v>127</v>
      </c>
      <c r="C137" s="3" t="s">
        <v>58</v>
      </c>
      <c r="D137" s="3" t="s">
        <v>59</v>
      </c>
      <c r="E137" s="3" t="s">
        <v>60</v>
      </c>
      <c r="F137" s="3" t="s">
        <v>3</v>
      </c>
      <c r="G137" s="3" t="s">
        <v>61</v>
      </c>
      <c r="H137" s="3" t="s">
        <v>4</v>
      </c>
      <c r="I137" s="3" t="s">
        <v>128</v>
      </c>
      <c r="J137" s="4"/>
      <c r="K137" s="4"/>
    </row>
    <row r="138" spans="1:11" ht="15.75" customHeight="1">
      <c r="A138" s="3" t="s">
        <v>75</v>
      </c>
      <c r="B138" s="3"/>
      <c r="C138" s="3"/>
      <c r="D138" s="3"/>
      <c r="E138" s="3"/>
      <c r="F138" s="3"/>
      <c r="G138" s="3"/>
      <c r="H138" s="3"/>
      <c r="I138" s="3">
        <f>6*500</f>
        <v>3000</v>
      </c>
      <c r="J138" s="4" t="s">
        <v>168</v>
      </c>
      <c r="K138" s="4"/>
    </row>
    <row r="139" spans="1:11" ht="15.75" customHeight="1">
      <c r="A139" s="3" t="s">
        <v>13</v>
      </c>
      <c r="B139" s="3">
        <v>1</v>
      </c>
      <c r="C139" s="3">
        <v>7.25</v>
      </c>
      <c r="D139" s="3"/>
      <c r="E139" s="3">
        <v>2.2999999999999998</v>
      </c>
      <c r="F139" s="3" t="s">
        <v>14</v>
      </c>
      <c r="G139" s="3">
        <f>B139*C139*E139*10.76</f>
        <v>179.42299999999997</v>
      </c>
      <c r="H139" s="3">
        <f>Summary!F11</f>
        <v>80</v>
      </c>
      <c r="I139" s="3">
        <f t="shared" ref="I139:I140" si="30">G139*H139</f>
        <v>14353.839999999998</v>
      </c>
      <c r="J139" s="4"/>
      <c r="K139" s="4"/>
    </row>
    <row r="140" spans="1:11" ht="15.75" customHeight="1">
      <c r="A140" s="3" t="s">
        <v>169</v>
      </c>
      <c r="B140" s="3">
        <v>1</v>
      </c>
      <c r="C140" s="3">
        <v>2.5</v>
      </c>
      <c r="D140" s="3">
        <v>1.6</v>
      </c>
      <c r="E140" s="3"/>
      <c r="F140" s="3" t="s">
        <v>14</v>
      </c>
      <c r="G140" s="3">
        <f>B140*C140*D140*10.76</f>
        <v>43.04</v>
      </c>
      <c r="H140" s="3">
        <f>H139</f>
        <v>80</v>
      </c>
      <c r="I140" s="3">
        <f t="shared" si="30"/>
        <v>3443.2</v>
      </c>
      <c r="J140" s="4"/>
      <c r="K140" s="4"/>
    </row>
    <row r="141" spans="1:11" ht="15.75" customHeight="1">
      <c r="A141" s="3" t="s">
        <v>170</v>
      </c>
      <c r="B141" s="3">
        <v>1</v>
      </c>
      <c r="C141" s="3">
        <v>0.3</v>
      </c>
      <c r="D141" s="3">
        <v>0.3</v>
      </c>
      <c r="E141" s="3"/>
      <c r="F141" s="3" t="s">
        <v>14</v>
      </c>
      <c r="G141" s="3">
        <f>B141*(C141+D141+C141+D141)*0.3*10.78</f>
        <v>3.8807999999999998</v>
      </c>
      <c r="H141" s="3"/>
      <c r="I141" s="3"/>
      <c r="J141" s="4"/>
      <c r="K141" s="4"/>
    </row>
    <row r="142" spans="1:11" ht="15.75" customHeight="1">
      <c r="A142" s="3"/>
      <c r="B142" s="3"/>
      <c r="C142" s="3">
        <v>0.75</v>
      </c>
      <c r="D142" s="3">
        <v>0.28000000000000003</v>
      </c>
      <c r="E142" s="3"/>
      <c r="F142" s="3" t="s">
        <v>14</v>
      </c>
      <c r="G142" s="3">
        <f>(C142+C142+C142+C142)*D142*10.76</f>
        <v>9.0384000000000011</v>
      </c>
      <c r="H142" s="3"/>
      <c r="I142" s="3"/>
      <c r="J142" s="4"/>
      <c r="K142" s="4"/>
    </row>
    <row r="143" spans="1:11" ht="15.75" customHeight="1">
      <c r="A143" s="3" t="s">
        <v>171</v>
      </c>
      <c r="B143" s="3">
        <v>2</v>
      </c>
      <c r="C143" s="3">
        <v>0.75</v>
      </c>
      <c r="D143" s="3">
        <v>0.5</v>
      </c>
      <c r="E143" s="3"/>
      <c r="F143" s="3" t="s">
        <v>14</v>
      </c>
      <c r="G143" s="3">
        <f>B143*C143*D143*10.76</f>
        <v>8.07</v>
      </c>
      <c r="H143" s="3"/>
      <c r="I143" s="3"/>
      <c r="J143" s="4"/>
      <c r="K143" s="4"/>
    </row>
    <row r="144" spans="1:11" ht="15.75" customHeight="1">
      <c r="A144" s="3" t="s">
        <v>69</v>
      </c>
      <c r="B144" s="3"/>
      <c r="C144" s="3"/>
      <c r="D144" s="3"/>
      <c r="E144" s="3"/>
      <c r="F144" s="3" t="s">
        <v>14</v>
      </c>
      <c r="G144" s="3"/>
      <c r="H144" s="3"/>
      <c r="I144" s="3"/>
      <c r="J144" s="4"/>
      <c r="K144" s="4"/>
    </row>
    <row r="145" spans="1:11" ht="15.75" customHeight="1">
      <c r="A145" s="3" t="s">
        <v>19</v>
      </c>
      <c r="B145" s="3"/>
      <c r="C145" s="3">
        <v>2.8</v>
      </c>
      <c r="D145" s="3">
        <v>1.9</v>
      </c>
      <c r="E145" s="3"/>
      <c r="F145" s="3" t="s">
        <v>14</v>
      </c>
      <c r="G145" s="3">
        <f>C145*D145*10.78</f>
        <v>57.349599999999988</v>
      </c>
      <c r="H145" s="3">
        <v>0</v>
      </c>
      <c r="I145" s="3">
        <f t="shared" ref="I145:I146" si="31">G145*H145</f>
        <v>0</v>
      </c>
      <c r="J145" s="4"/>
      <c r="K145" s="4"/>
    </row>
    <row r="146" spans="1:11" ht="15.75" customHeight="1">
      <c r="A146" s="3" t="s">
        <v>74</v>
      </c>
      <c r="B146" s="3"/>
      <c r="C146" s="3"/>
      <c r="D146" s="3"/>
      <c r="E146" s="3"/>
      <c r="F146" s="3" t="s">
        <v>14</v>
      </c>
      <c r="G146" s="3">
        <f>G145</f>
        <v>57.349599999999988</v>
      </c>
      <c r="H146" s="3">
        <f>H52</f>
        <v>34</v>
      </c>
      <c r="I146" s="3">
        <f t="shared" si="31"/>
        <v>1949.8863999999996</v>
      </c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3">
        <f>SUM(I138:I146)</f>
        <v>22746.926399999997</v>
      </c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34" t="s">
        <v>172</v>
      </c>
      <c r="B150" s="32"/>
      <c r="C150" s="32"/>
      <c r="D150" s="32"/>
      <c r="E150" s="32"/>
      <c r="F150" s="32"/>
      <c r="G150" s="32"/>
      <c r="H150" s="32"/>
      <c r="I150" s="33"/>
      <c r="J150" s="4"/>
      <c r="K150" s="4"/>
    </row>
    <row r="151" spans="1:11" ht="15.75" customHeight="1">
      <c r="A151" s="3"/>
      <c r="B151" s="3" t="s">
        <v>127</v>
      </c>
      <c r="C151" s="3" t="s">
        <v>58</v>
      </c>
      <c r="D151" s="3" t="s">
        <v>59</v>
      </c>
      <c r="E151" s="3" t="s">
        <v>60</v>
      </c>
      <c r="F151" s="3" t="s">
        <v>3</v>
      </c>
      <c r="G151" s="3" t="s">
        <v>61</v>
      </c>
      <c r="H151" s="3" t="s">
        <v>4</v>
      </c>
      <c r="I151" s="3" t="s">
        <v>128</v>
      </c>
      <c r="J151" s="4"/>
      <c r="K151" s="4"/>
    </row>
    <row r="152" spans="1:11" ht="15.75" customHeight="1">
      <c r="A152" s="3" t="s">
        <v>173</v>
      </c>
      <c r="B152" s="3">
        <v>3</v>
      </c>
      <c r="C152" s="3">
        <v>2</v>
      </c>
      <c r="D152" s="3">
        <v>2</v>
      </c>
      <c r="E152" s="3">
        <v>1.5</v>
      </c>
      <c r="F152" s="3" t="s">
        <v>6</v>
      </c>
      <c r="G152" s="3">
        <f>C152*D152*E152*B152/35.31</f>
        <v>0.50977060322854717</v>
      </c>
      <c r="H152" s="3"/>
      <c r="I152" s="3"/>
      <c r="J152" s="4"/>
      <c r="K152" s="4"/>
    </row>
    <row r="153" spans="1:11" ht="15.75" customHeight="1">
      <c r="A153" s="3" t="s">
        <v>148</v>
      </c>
      <c r="B153" s="3"/>
      <c r="C153" s="3"/>
      <c r="D153" s="3"/>
      <c r="E153" s="3"/>
      <c r="F153" s="3"/>
      <c r="G153" s="3">
        <f>G152*500</f>
        <v>254.88530161427357</v>
      </c>
      <c r="H153" s="3">
        <v>9</v>
      </c>
      <c r="I153" s="3">
        <f t="shared" ref="I153:I154" si="32">G153*H153</f>
        <v>2293.9677145284622</v>
      </c>
      <c r="J153" s="4"/>
      <c r="K153" s="4"/>
    </row>
    <row r="154" spans="1:11" ht="15.75" customHeight="1">
      <c r="A154" s="3" t="s">
        <v>174</v>
      </c>
      <c r="B154" s="3"/>
      <c r="C154" s="3"/>
      <c r="D154" s="3"/>
      <c r="E154" s="3"/>
      <c r="F154" s="3" t="s">
        <v>147</v>
      </c>
      <c r="G154" s="3">
        <v>5</v>
      </c>
      <c r="H154" s="3">
        <v>390</v>
      </c>
      <c r="I154" s="3">
        <f t="shared" si="32"/>
        <v>1950</v>
      </c>
      <c r="J154" s="4"/>
      <c r="K154" s="4"/>
    </row>
    <row r="155" spans="1:11" ht="15.75" customHeight="1">
      <c r="A155" s="3" t="s">
        <v>175</v>
      </c>
      <c r="B155" s="3"/>
      <c r="C155" s="3"/>
      <c r="D155" s="3"/>
      <c r="E155" s="3"/>
      <c r="F155" s="3"/>
      <c r="G155" s="3"/>
      <c r="H155" s="3"/>
      <c r="I155" s="3"/>
      <c r="J155" s="25" t="s">
        <v>176</v>
      </c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6">
        <f>SUM(I153:I155)</f>
        <v>4243.9677145284622</v>
      </c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34" t="s">
        <v>177</v>
      </c>
      <c r="B159" s="32"/>
      <c r="C159" s="32"/>
      <c r="D159" s="32"/>
      <c r="E159" s="32"/>
      <c r="F159" s="32"/>
      <c r="G159" s="32"/>
      <c r="H159" s="32"/>
      <c r="I159" s="33"/>
      <c r="J159" s="4"/>
      <c r="K159" s="4"/>
    </row>
    <row r="160" spans="1:11" ht="15.75" customHeight="1">
      <c r="A160" s="3" t="s">
        <v>178</v>
      </c>
      <c r="B160" s="3"/>
      <c r="C160" s="3"/>
      <c r="D160" s="3"/>
      <c r="E160" s="3"/>
      <c r="F160" s="3"/>
      <c r="G160" s="3"/>
      <c r="H160" s="3"/>
      <c r="I160" s="3">
        <v>7380</v>
      </c>
      <c r="J160" s="4"/>
      <c r="K160" s="4"/>
    </row>
    <row r="161" spans="1:11" ht="15.75" customHeight="1">
      <c r="A161" s="3" t="s">
        <v>179</v>
      </c>
      <c r="B161" s="3"/>
      <c r="C161" s="3"/>
      <c r="D161" s="3"/>
      <c r="E161" s="3"/>
      <c r="F161" s="3"/>
      <c r="G161" s="3"/>
      <c r="H161" s="3"/>
      <c r="I161" s="3">
        <v>770</v>
      </c>
      <c r="J161" s="4"/>
      <c r="K161" s="4"/>
    </row>
    <row r="162" spans="1:11" ht="15.75" customHeight="1">
      <c r="A162" s="3" t="s">
        <v>180</v>
      </c>
      <c r="B162" s="3"/>
      <c r="C162" s="3"/>
      <c r="D162" s="3"/>
      <c r="E162" s="3"/>
      <c r="F162" s="3"/>
      <c r="G162" s="3"/>
      <c r="H162" s="3"/>
      <c r="I162" s="3">
        <v>1600</v>
      </c>
      <c r="J162" s="4"/>
      <c r="K162" s="4"/>
    </row>
    <row r="163" spans="1:11" ht="15.75" customHeight="1">
      <c r="A163" s="3" t="s">
        <v>181</v>
      </c>
      <c r="B163" s="3"/>
      <c r="C163" s="3"/>
      <c r="D163" s="3"/>
      <c r="E163" s="3"/>
      <c r="F163" s="3"/>
      <c r="G163" s="3"/>
      <c r="H163" s="3"/>
      <c r="I163" s="3">
        <v>500</v>
      </c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3">
        <f>SUM(I160:I163)</f>
        <v>10250</v>
      </c>
      <c r="J164" s="4"/>
      <c r="K164" s="4"/>
    </row>
  </sheetData>
  <mergeCells count="14">
    <mergeCell ref="A78:I78"/>
    <mergeCell ref="A1:I1"/>
    <mergeCell ref="A14:I14"/>
    <mergeCell ref="A33:I33"/>
    <mergeCell ref="A56:I56"/>
    <mergeCell ref="A67:I67"/>
    <mergeCell ref="A150:I150"/>
    <mergeCell ref="A159:I159"/>
    <mergeCell ref="A88:I88"/>
    <mergeCell ref="A99:I99"/>
    <mergeCell ref="A108:I108"/>
    <mergeCell ref="A111:A130"/>
    <mergeCell ref="A136:I136"/>
    <mergeCell ref="B132:H13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10.6640625" customWidth="1"/>
    <col min="3" max="3" width="12" customWidth="1"/>
    <col min="4" max="4" width="13.83203125" customWidth="1"/>
    <col min="5" max="11" width="10.6640625" customWidth="1"/>
  </cols>
  <sheetData>
    <row r="1" spans="1:4" ht="15.75" customHeight="1">
      <c r="A1" s="3" t="s">
        <v>37</v>
      </c>
      <c r="B1" s="3"/>
      <c r="C1" s="3">
        <v>49000</v>
      </c>
      <c r="D1" s="3" t="s">
        <v>38</v>
      </c>
    </row>
    <row r="2" spans="1:4" ht="15.75" customHeight="1">
      <c r="A2" s="3" t="s">
        <v>39</v>
      </c>
      <c r="B2" s="3"/>
      <c r="C2" s="3">
        <v>39000</v>
      </c>
      <c r="D2" s="4"/>
    </row>
    <row r="3" spans="1:4" ht="15.75" customHeight="1">
      <c r="A3" s="3" t="s">
        <v>40</v>
      </c>
      <c r="B3" s="3"/>
      <c r="C3" s="3">
        <v>42000</v>
      </c>
      <c r="D3" s="3" t="s">
        <v>16</v>
      </c>
    </row>
    <row r="4" spans="1:4" ht="15.75" customHeight="1">
      <c r="A4" s="3" t="s">
        <v>41</v>
      </c>
      <c r="B4" s="3"/>
      <c r="C4" s="3">
        <v>41000</v>
      </c>
      <c r="D4" s="3" t="s">
        <v>16</v>
      </c>
    </row>
    <row r="5" spans="1:4" ht="15.75" customHeight="1">
      <c r="A5" s="3" t="s">
        <v>42</v>
      </c>
      <c r="B5" s="3"/>
      <c r="C5" s="3">
        <v>44000</v>
      </c>
      <c r="D5" s="4"/>
    </row>
    <row r="6" spans="1:4" ht="15.75" customHeight="1">
      <c r="A6" s="3" t="s">
        <v>43</v>
      </c>
      <c r="B6" s="3"/>
      <c r="C6" s="3">
        <v>39000</v>
      </c>
      <c r="D6" s="4"/>
    </row>
    <row r="7" spans="1:4" ht="15.75" customHeight="1">
      <c r="A7" s="3" t="s">
        <v>44</v>
      </c>
      <c r="B7" s="3"/>
      <c r="C7" s="3">
        <v>44000</v>
      </c>
      <c r="D7" s="4"/>
    </row>
    <row r="8" spans="1:4" ht="15.75" customHeight="1">
      <c r="A8" s="3" t="s">
        <v>45</v>
      </c>
      <c r="B8" s="3"/>
      <c r="C8" s="3">
        <v>39000</v>
      </c>
      <c r="D8" s="4"/>
    </row>
    <row r="9" spans="1:4" ht="15.75" customHeight="1">
      <c r="A9" s="3" t="s">
        <v>46</v>
      </c>
      <c r="B9" s="3"/>
      <c r="C9" s="3">
        <v>38000</v>
      </c>
      <c r="D9" s="4"/>
    </row>
    <row r="10" spans="1:4" ht="15.75" customHeight="1">
      <c r="A10" s="3" t="s">
        <v>47</v>
      </c>
      <c r="B10" s="3"/>
      <c r="C10" s="3">
        <v>38000</v>
      </c>
      <c r="D10" s="4"/>
    </row>
    <row r="11" spans="1:4" ht="15.75" customHeight="1">
      <c r="A11" s="3" t="s">
        <v>48</v>
      </c>
      <c r="B11" s="3"/>
      <c r="C11" s="3">
        <v>38000</v>
      </c>
      <c r="D11" s="4"/>
    </row>
    <row r="12" spans="1:4" ht="15.75" customHeight="1">
      <c r="A12" s="3" t="s">
        <v>49</v>
      </c>
      <c r="B12" s="3"/>
      <c r="C12" s="3">
        <v>57000</v>
      </c>
      <c r="D12" s="3" t="s">
        <v>16</v>
      </c>
    </row>
    <row r="13" spans="1:4" ht="15.75" customHeight="1">
      <c r="A13" s="3" t="s">
        <v>50</v>
      </c>
      <c r="B13" s="3"/>
      <c r="C13" s="3">
        <v>63000</v>
      </c>
      <c r="D13" s="3" t="s">
        <v>16</v>
      </c>
    </row>
    <row r="14" spans="1:4" ht="15.75" customHeight="1">
      <c r="A14" s="3" t="s">
        <v>51</v>
      </c>
      <c r="B14" s="3"/>
      <c r="C14" s="3">
        <v>39000</v>
      </c>
      <c r="D14" s="4"/>
    </row>
    <row r="15" spans="1:4" ht="15.75" customHeight="1">
      <c r="A15" s="3" t="s">
        <v>52</v>
      </c>
      <c r="B15" s="3"/>
      <c r="C15" s="3">
        <v>36000</v>
      </c>
      <c r="D15" s="4"/>
    </row>
    <row r="16" spans="1:4" ht="15.75" customHeight="1">
      <c r="A16" s="3" t="s">
        <v>53</v>
      </c>
      <c r="B16" s="3"/>
      <c r="C16" s="3">
        <f>28000+9000+6000</f>
        <v>43000</v>
      </c>
      <c r="D16" s="4"/>
    </row>
    <row r="17" spans="1:4" ht="15.75" customHeight="1">
      <c r="A17" s="4"/>
      <c r="B17" s="4"/>
      <c r="C17" s="3">
        <f>SUM(C1:C16)</f>
        <v>689000</v>
      </c>
      <c r="D17" s="4"/>
    </row>
    <row r="18" spans="1:4" ht="15.75" customHeight="1">
      <c r="A18" s="4"/>
      <c r="B18" s="4"/>
      <c r="C18" s="4"/>
      <c r="D18" s="4"/>
    </row>
    <row r="19" spans="1:4" ht="15.75" customHeight="1">
      <c r="A19" s="4"/>
      <c r="B19" s="4"/>
      <c r="C19" s="4"/>
      <c r="D19" s="4"/>
    </row>
    <row r="20" spans="1:4" ht="15.75" customHeight="1">
      <c r="A20" s="3" t="s">
        <v>54</v>
      </c>
      <c r="B20" s="4"/>
      <c r="C20" s="4"/>
      <c r="D20" s="4"/>
    </row>
    <row r="21" spans="1:4" ht="15.75" customHeight="1">
      <c r="A21" s="3" t="s">
        <v>15</v>
      </c>
      <c r="B21" s="4"/>
      <c r="C21" s="4"/>
      <c r="D21" s="4"/>
    </row>
    <row r="22" spans="1:4" ht="15.75" customHeight="1">
      <c r="A22" s="3" t="s">
        <v>55</v>
      </c>
      <c r="B22" s="4"/>
      <c r="C22" s="4"/>
      <c r="D22" s="4"/>
    </row>
    <row r="23" spans="1:4" ht="15.75" customHeight="1">
      <c r="A23" s="3" t="s">
        <v>56</v>
      </c>
      <c r="B23" s="4"/>
      <c r="C23" s="4"/>
      <c r="D23" s="4"/>
    </row>
    <row r="24" spans="1:4" ht="15.75" customHeight="1">
      <c r="A24" s="3" t="s">
        <v>38</v>
      </c>
      <c r="B24" s="4"/>
      <c r="C24" s="4"/>
      <c r="D24" s="4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opLeftCell="A10" workbookViewId="0">
      <selection activeCell="M37" sqref="M37"/>
    </sheetView>
  </sheetViews>
  <sheetFormatPr baseColWidth="10" defaultColWidth="12.6640625" defaultRowHeight="15" customHeight="1"/>
  <cols>
    <col min="1" max="1" width="22.83203125" customWidth="1"/>
    <col min="2" max="6" width="10.83203125" customWidth="1"/>
    <col min="7" max="7" width="14" customWidth="1"/>
    <col min="8" max="8" width="10.83203125" customWidth="1"/>
    <col min="9" max="9" width="13.5" customWidth="1"/>
    <col min="10" max="11" width="10.6640625" customWidth="1"/>
  </cols>
  <sheetData>
    <row r="1" spans="1:11" ht="15.75" customHeight="1">
      <c r="A1" s="3"/>
      <c r="B1" s="3" t="s">
        <v>57</v>
      </c>
      <c r="C1" s="3" t="s">
        <v>58</v>
      </c>
      <c r="D1" s="3" t="s">
        <v>59</v>
      </c>
      <c r="E1" s="3" t="s">
        <v>60</v>
      </c>
      <c r="F1" s="3" t="s">
        <v>3</v>
      </c>
      <c r="G1" s="3" t="s">
        <v>61</v>
      </c>
      <c r="H1" s="3" t="s">
        <v>4</v>
      </c>
      <c r="I1" s="3" t="s">
        <v>62</v>
      </c>
      <c r="J1" s="4"/>
      <c r="K1" s="4"/>
    </row>
    <row r="2" spans="1:11" ht="15.75" customHeight="1">
      <c r="A2" s="3" t="s">
        <v>63</v>
      </c>
      <c r="B2" s="3">
        <v>2</v>
      </c>
      <c r="C2" s="3">
        <v>3</v>
      </c>
      <c r="D2" s="3">
        <v>3</v>
      </c>
      <c r="E2" s="3">
        <v>0.23</v>
      </c>
      <c r="F2" s="3" t="s">
        <v>6</v>
      </c>
      <c r="G2" s="3">
        <f t="shared" ref="G2:G27" si="0">B2*C2*D2*E2</f>
        <v>4.1400000000000006</v>
      </c>
      <c r="H2" s="3"/>
      <c r="I2" s="3"/>
      <c r="J2" s="4"/>
      <c r="K2" s="4"/>
    </row>
    <row r="3" spans="1:11" ht="15.75" customHeight="1">
      <c r="A3" s="3"/>
      <c r="B3" s="3">
        <v>1</v>
      </c>
      <c r="C3" s="3">
        <v>0.74</v>
      </c>
      <c r="D3" s="3">
        <v>3</v>
      </c>
      <c r="E3" s="3">
        <v>0.23</v>
      </c>
      <c r="F3" s="3" t="s">
        <v>6</v>
      </c>
      <c r="G3" s="3">
        <f t="shared" si="0"/>
        <v>0.51059999999999994</v>
      </c>
      <c r="H3" s="3"/>
      <c r="I3" s="3"/>
      <c r="J3" s="4"/>
      <c r="K3" s="4"/>
    </row>
    <row r="4" spans="1:11" ht="15.75" customHeight="1">
      <c r="A4" s="3"/>
      <c r="B4" s="3">
        <v>1</v>
      </c>
      <c r="C4" s="3">
        <v>1.0900000000000001</v>
      </c>
      <c r="D4" s="3">
        <v>0.81</v>
      </c>
      <c r="E4" s="3">
        <v>0.23</v>
      </c>
      <c r="F4" s="3" t="s">
        <v>6</v>
      </c>
      <c r="G4" s="3">
        <f t="shared" si="0"/>
        <v>0.20306700000000003</v>
      </c>
      <c r="H4" s="3"/>
      <c r="I4" s="3"/>
      <c r="J4" s="4"/>
      <c r="K4" s="4"/>
    </row>
    <row r="5" spans="1:11" ht="15.75" customHeight="1">
      <c r="A5" s="3"/>
      <c r="B5" s="3">
        <v>1</v>
      </c>
      <c r="C5" s="3">
        <v>0.23</v>
      </c>
      <c r="D5" s="3">
        <v>0.23</v>
      </c>
      <c r="E5" s="3">
        <v>3</v>
      </c>
      <c r="F5" s="3" t="s">
        <v>6</v>
      </c>
      <c r="G5" s="3">
        <f t="shared" si="0"/>
        <v>0.15870000000000001</v>
      </c>
      <c r="H5" s="3"/>
      <c r="I5" s="3"/>
      <c r="J5" s="4"/>
      <c r="K5" s="4"/>
    </row>
    <row r="6" spans="1:11" ht="15.75" customHeight="1">
      <c r="A6" s="3"/>
      <c r="B6" s="3">
        <v>1</v>
      </c>
      <c r="C6" s="3">
        <v>1.1000000000000001</v>
      </c>
      <c r="D6" s="3">
        <v>3</v>
      </c>
      <c r="E6" s="3">
        <v>0.23</v>
      </c>
      <c r="F6" s="3" t="s">
        <v>6</v>
      </c>
      <c r="G6" s="3">
        <f t="shared" si="0"/>
        <v>0.75900000000000012</v>
      </c>
      <c r="H6" s="3"/>
      <c r="I6" s="3"/>
      <c r="J6" s="4"/>
      <c r="K6" s="4"/>
    </row>
    <row r="7" spans="1:11" ht="15.75" customHeight="1">
      <c r="A7" s="3"/>
      <c r="B7" s="3">
        <v>1</v>
      </c>
      <c r="C7" s="3">
        <v>0.70099999999999996</v>
      </c>
      <c r="D7" s="3">
        <v>0.23</v>
      </c>
      <c r="E7" s="3">
        <v>3</v>
      </c>
      <c r="F7" s="3" t="s">
        <v>6</v>
      </c>
      <c r="G7" s="3">
        <f t="shared" si="0"/>
        <v>0.48368999999999995</v>
      </c>
      <c r="H7" s="3"/>
      <c r="I7" s="3"/>
      <c r="J7" s="4"/>
      <c r="K7" s="4"/>
    </row>
    <row r="8" spans="1:11" ht="15.75" customHeight="1">
      <c r="A8" s="3"/>
      <c r="B8" s="3">
        <v>1</v>
      </c>
      <c r="C8" s="3">
        <v>0.3</v>
      </c>
      <c r="D8" s="3">
        <v>0.23</v>
      </c>
      <c r="E8" s="3">
        <v>3</v>
      </c>
      <c r="F8" s="3" t="s">
        <v>6</v>
      </c>
      <c r="G8" s="3">
        <f t="shared" si="0"/>
        <v>0.20700000000000002</v>
      </c>
      <c r="H8" s="3"/>
      <c r="I8" s="3"/>
      <c r="J8" s="4"/>
      <c r="K8" s="4"/>
    </row>
    <row r="9" spans="1:11" ht="15.75" customHeight="1">
      <c r="A9" s="3"/>
      <c r="B9" s="3">
        <v>1</v>
      </c>
      <c r="C9" s="3">
        <v>1</v>
      </c>
      <c r="D9" s="3">
        <v>1</v>
      </c>
      <c r="E9" s="3">
        <v>0.23</v>
      </c>
      <c r="F9" s="3" t="s">
        <v>6</v>
      </c>
      <c r="G9" s="3">
        <f t="shared" si="0"/>
        <v>0.23</v>
      </c>
      <c r="H9" s="3"/>
      <c r="I9" s="3"/>
      <c r="J9" s="4"/>
      <c r="K9" s="4"/>
    </row>
    <row r="10" spans="1:11" ht="15.75" customHeight="1">
      <c r="A10" s="3"/>
      <c r="B10" s="3">
        <v>3</v>
      </c>
      <c r="C10" s="3">
        <v>3</v>
      </c>
      <c r="D10" s="3">
        <v>3</v>
      </c>
      <c r="E10" s="3">
        <v>0.23</v>
      </c>
      <c r="F10" s="3" t="s">
        <v>6</v>
      </c>
      <c r="G10" s="3">
        <f t="shared" si="0"/>
        <v>6.21</v>
      </c>
      <c r="H10" s="3"/>
      <c r="I10" s="3"/>
      <c r="J10" s="4"/>
      <c r="K10" s="4"/>
    </row>
    <row r="11" spans="1:11" ht="15.75" customHeight="1">
      <c r="A11" s="3"/>
      <c r="B11" s="3">
        <v>3</v>
      </c>
      <c r="C11" s="3">
        <v>3</v>
      </c>
      <c r="D11" s="3">
        <v>2.2000000000000002</v>
      </c>
      <c r="E11" s="3">
        <v>0.35</v>
      </c>
      <c r="F11" s="3" t="s">
        <v>6</v>
      </c>
      <c r="G11" s="3">
        <f t="shared" si="0"/>
        <v>6.93</v>
      </c>
      <c r="H11" s="3"/>
      <c r="I11" s="3"/>
      <c r="J11" s="4"/>
      <c r="K11" s="4"/>
    </row>
    <row r="12" spans="1:11" ht="15.75" customHeight="1">
      <c r="A12" s="3"/>
      <c r="B12" s="3">
        <v>1</v>
      </c>
      <c r="C12" s="3">
        <v>8.5</v>
      </c>
      <c r="D12" s="3">
        <v>3</v>
      </c>
      <c r="E12" s="3">
        <v>0.23</v>
      </c>
      <c r="F12" s="3"/>
      <c r="G12" s="3">
        <f t="shared" si="0"/>
        <v>5.8650000000000002</v>
      </c>
      <c r="H12" s="3"/>
      <c r="I12" s="3"/>
      <c r="J12" s="4"/>
      <c r="K12" s="4"/>
    </row>
    <row r="13" spans="1:11" ht="15.75" customHeight="1">
      <c r="A13" s="3"/>
      <c r="B13" s="3">
        <v>1</v>
      </c>
      <c r="C13" s="3">
        <v>8.5</v>
      </c>
      <c r="D13" s="3">
        <v>1.6</v>
      </c>
      <c r="E13" s="3">
        <v>0.35</v>
      </c>
      <c r="F13" s="3"/>
      <c r="G13" s="3">
        <f t="shared" si="0"/>
        <v>4.76</v>
      </c>
      <c r="H13" s="3"/>
      <c r="I13" s="3"/>
      <c r="J13" s="4"/>
      <c r="K13" s="4"/>
    </row>
    <row r="14" spans="1:11" ht="15.75" customHeight="1">
      <c r="A14" s="3"/>
      <c r="B14" s="3">
        <v>1</v>
      </c>
      <c r="C14" s="3">
        <v>3.34</v>
      </c>
      <c r="D14" s="3">
        <v>1.6</v>
      </c>
      <c r="E14" s="3">
        <v>0.35</v>
      </c>
      <c r="F14" s="3"/>
      <c r="G14" s="3">
        <f t="shared" si="0"/>
        <v>1.8704000000000001</v>
      </c>
      <c r="H14" s="3"/>
      <c r="I14" s="3"/>
      <c r="J14" s="4"/>
      <c r="K14" s="4"/>
    </row>
    <row r="15" spans="1:11" ht="15.75" customHeight="1">
      <c r="A15" s="3"/>
      <c r="B15" s="3">
        <v>1</v>
      </c>
      <c r="C15" s="3">
        <v>3.34</v>
      </c>
      <c r="D15" s="3">
        <v>3</v>
      </c>
      <c r="E15" s="3">
        <v>0.23</v>
      </c>
      <c r="F15" s="3"/>
      <c r="G15" s="3">
        <f t="shared" si="0"/>
        <v>2.3046000000000002</v>
      </c>
      <c r="H15" s="3"/>
      <c r="I15" s="3"/>
      <c r="J15" s="4"/>
      <c r="K15" s="4"/>
    </row>
    <row r="16" spans="1:11" ht="15.75" customHeight="1">
      <c r="A16" s="3"/>
      <c r="B16" s="3">
        <v>1</v>
      </c>
      <c r="C16" s="3">
        <v>5.38</v>
      </c>
      <c r="D16" s="3">
        <v>3</v>
      </c>
      <c r="E16" s="3">
        <v>0.23</v>
      </c>
      <c r="F16" s="3"/>
      <c r="G16" s="3">
        <f t="shared" si="0"/>
        <v>3.7122000000000002</v>
      </c>
      <c r="H16" s="3"/>
      <c r="I16" s="3"/>
      <c r="J16" s="4"/>
      <c r="K16" s="4"/>
    </row>
    <row r="17" spans="1:11" ht="15.75" customHeight="1">
      <c r="A17" s="3"/>
      <c r="B17" s="3">
        <v>1</v>
      </c>
      <c r="C17" s="3">
        <v>3.1</v>
      </c>
      <c r="D17" s="3">
        <v>3</v>
      </c>
      <c r="E17" s="3">
        <v>0.23</v>
      </c>
      <c r="F17" s="3"/>
      <c r="G17" s="3">
        <f t="shared" si="0"/>
        <v>2.1390000000000002</v>
      </c>
      <c r="H17" s="3"/>
      <c r="I17" s="3"/>
      <c r="J17" s="4"/>
      <c r="K17" s="4"/>
    </row>
    <row r="18" spans="1:11" ht="15.75" customHeight="1">
      <c r="A18" s="3"/>
      <c r="B18" s="3">
        <v>1</v>
      </c>
      <c r="C18" s="3">
        <v>2.8940000000000001</v>
      </c>
      <c r="D18" s="3">
        <v>3</v>
      </c>
      <c r="E18" s="3">
        <v>0.23</v>
      </c>
      <c r="F18" s="3"/>
      <c r="G18" s="3">
        <f t="shared" si="0"/>
        <v>1.9968600000000001</v>
      </c>
      <c r="H18" s="3"/>
      <c r="I18" s="3"/>
      <c r="J18" s="4"/>
      <c r="K18" s="4"/>
    </row>
    <row r="19" spans="1:11" ht="15.75" customHeight="1">
      <c r="A19" s="3"/>
      <c r="B19" s="3">
        <v>1</v>
      </c>
      <c r="C19" s="3">
        <v>2.0939999999999999</v>
      </c>
      <c r="D19" s="3">
        <v>3</v>
      </c>
      <c r="E19" s="3">
        <v>0.23</v>
      </c>
      <c r="F19" s="3"/>
      <c r="G19" s="3">
        <f t="shared" si="0"/>
        <v>1.44486</v>
      </c>
      <c r="H19" s="3"/>
      <c r="I19" s="3"/>
      <c r="J19" s="4"/>
      <c r="K19" s="4"/>
    </row>
    <row r="20" spans="1:11" ht="15.75" customHeight="1">
      <c r="A20" s="3"/>
      <c r="B20" s="3">
        <v>1</v>
      </c>
      <c r="C20" s="3">
        <v>11.6</v>
      </c>
      <c r="D20" s="3">
        <v>3</v>
      </c>
      <c r="E20" s="3">
        <v>0.23</v>
      </c>
      <c r="F20" s="3"/>
      <c r="G20" s="3">
        <f t="shared" si="0"/>
        <v>8.0039999999999996</v>
      </c>
      <c r="H20" s="3"/>
      <c r="I20" s="3"/>
      <c r="J20" s="4"/>
      <c r="K20" s="4"/>
    </row>
    <row r="21" spans="1:11" ht="15.75" customHeight="1">
      <c r="A21" s="3"/>
      <c r="B21" s="3">
        <v>1</v>
      </c>
      <c r="C21" s="3">
        <v>4.9119999999999999</v>
      </c>
      <c r="D21" s="3">
        <v>3</v>
      </c>
      <c r="E21" s="3">
        <v>0.23</v>
      </c>
      <c r="F21" s="3"/>
      <c r="G21" s="3">
        <f t="shared" si="0"/>
        <v>3.3892800000000003</v>
      </c>
      <c r="H21" s="3"/>
      <c r="I21" s="3"/>
      <c r="J21" s="4"/>
      <c r="K21" s="4"/>
    </row>
    <row r="22" spans="1:11" ht="15.75" customHeight="1">
      <c r="A22" s="3"/>
      <c r="B22" s="3">
        <v>1</v>
      </c>
      <c r="C22" s="3">
        <v>1.214</v>
      </c>
      <c r="D22" s="3">
        <v>3</v>
      </c>
      <c r="E22" s="3">
        <v>0.23</v>
      </c>
      <c r="F22" s="3"/>
      <c r="G22" s="3">
        <f t="shared" si="0"/>
        <v>0.83765999999999996</v>
      </c>
      <c r="H22" s="3"/>
      <c r="I22" s="3"/>
      <c r="J22" s="4"/>
      <c r="K22" s="4"/>
    </row>
    <row r="23" spans="1:11" ht="15.75" customHeight="1">
      <c r="A23" s="3"/>
      <c r="B23" s="3">
        <v>1</v>
      </c>
      <c r="C23" s="3">
        <v>2.4</v>
      </c>
      <c r="D23" s="3">
        <v>3</v>
      </c>
      <c r="E23" s="3">
        <v>0.23</v>
      </c>
      <c r="F23" s="3"/>
      <c r="G23" s="3">
        <f t="shared" si="0"/>
        <v>1.6559999999999999</v>
      </c>
      <c r="H23" s="3"/>
      <c r="I23" s="3"/>
      <c r="J23" s="4"/>
      <c r="K23" s="4"/>
    </row>
    <row r="24" spans="1:11" ht="15.75" customHeight="1">
      <c r="A24" s="3"/>
      <c r="B24" s="3">
        <v>1</v>
      </c>
      <c r="C24" s="3">
        <v>1.4059999999999999</v>
      </c>
      <c r="D24" s="3">
        <v>3</v>
      </c>
      <c r="E24" s="3">
        <v>0.23</v>
      </c>
      <c r="F24" s="3"/>
      <c r="G24" s="3">
        <f t="shared" si="0"/>
        <v>0.97014</v>
      </c>
      <c r="H24" s="3"/>
      <c r="I24" s="3"/>
      <c r="J24" s="4"/>
      <c r="K24" s="4"/>
    </row>
    <row r="25" spans="1:11" ht="15.75" customHeight="1">
      <c r="A25" s="3"/>
      <c r="B25" s="3">
        <v>1</v>
      </c>
      <c r="C25" s="3">
        <v>3</v>
      </c>
      <c r="D25" s="3">
        <v>3</v>
      </c>
      <c r="E25" s="3">
        <v>0.23</v>
      </c>
      <c r="F25" s="3"/>
      <c r="G25" s="3">
        <f t="shared" si="0"/>
        <v>2.0700000000000003</v>
      </c>
      <c r="H25" s="3"/>
      <c r="I25" s="3"/>
      <c r="J25" s="4"/>
      <c r="K25" s="4"/>
    </row>
    <row r="26" spans="1:11" ht="15.75" customHeight="1">
      <c r="A26" s="3"/>
      <c r="B26" s="3">
        <v>1</v>
      </c>
      <c r="C26" s="3">
        <v>0.8</v>
      </c>
      <c r="D26" s="3">
        <v>2.1</v>
      </c>
      <c r="E26" s="3">
        <v>0.23</v>
      </c>
      <c r="F26" s="3"/>
      <c r="G26" s="3">
        <f t="shared" si="0"/>
        <v>0.38640000000000008</v>
      </c>
      <c r="H26" s="3"/>
      <c r="I26" s="3"/>
      <c r="J26" s="4"/>
      <c r="K26" s="4"/>
    </row>
    <row r="27" spans="1:11" ht="15.75" customHeight="1">
      <c r="A27" s="3"/>
      <c r="B27" s="3">
        <v>2</v>
      </c>
      <c r="C27" s="3">
        <v>1.2</v>
      </c>
      <c r="D27" s="3">
        <v>0.9</v>
      </c>
      <c r="E27" s="3">
        <v>0.23</v>
      </c>
      <c r="F27" s="3"/>
      <c r="G27" s="3">
        <f t="shared" si="0"/>
        <v>0.49680000000000007</v>
      </c>
      <c r="H27" s="3"/>
      <c r="I27" s="3"/>
      <c r="J27" s="4"/>
      <c r="K27" s="4"/>
    </row>
    <row r="28" spans="1:11" ht="15.75" customHeight="1">
      <c r="A28" s="3"/>
      <c r="B28" s="3"/>
      <c r="C28" s="3"/>
      <c r="D28" s="3"/>
      <c r="E28" s="3"/>
      <c r="F28" s="3" t="s">
        <v>6</v>
      </c>
      <c r="G28" s="3">
        <f>SUM(G2:G27)</f>
        <v>61.735256999999997</v>
      </c>
      <c r="H28" s="3">
        <f>Summary!F6</f>
        <v>6000</v>
      </c>
      <c r="I28" s="3">
        <f t="shared" ref="I28:I33" si="1">G28*H28</f>
        <v>370411.54199999996</v>
      </c>
      <c r="J28" s="4"/>
      <c r="K28" s="4"/>
    </row>
    <row r="29" spans="1:11" ht="15.75" customHeight="1">
      <c r="A29" s="3" t="s">
        <v>7</v>
      </c>
      <c r="B29" s="3"/>
      <c r="C29" s="3"/>
      <c r="D29" s="3"/>
      <c r="E29" s="3"/>
      <c r="F29" s="3" t="s">
        <v>14</v>
      </c>
      <c r="G29" s="3">
        <f>1984+2575.62</f>
        <v>4559.62</v>
      </c>
      <c r="H29" s="3">
        <f>Summary!F7</f>
        <v>30</v>
      </c>
      <c r="I29" s="3">
        <f t="shared" si="1"/>
        <v>136788.6</v>
      </c>
      <c r="J29" s="4"/>
      <c r="K29" s="4"/>
    </row>
    <row r="30" spans="1:11" ht="15.75" customHeight="1">
      <c r="A30" s="3" t="s">
        <v>9</v>
      </c>
      <c r="B30" s="3"/>
      <c r="C30" s="3"/>
      <c r="D30" s="3"/>
      <c r="E30" s="3"/>
      <c r="F30" s="3" t="s">
        <v>8</v>
      </c>
      <c r="G30" s="3">
        <v>874.57</v>
      </c>
      <c r="H30" s="3">
        <f>Summary!F8</f>
        <v>45</v>
      </c>
      <c r="I30" s="3">
        <f t="shared" si="1"/>
        <v>39355.65</v>
      </c>
      <c r="J30" s="4"/>
      <c r="K30" s="4"/>
    </row>
    <row r="31" spans="1:11" ht="15.75" customHeight="1">
      <c r="A31" s="3" t="s">
        <v>64</v>
      </c>
      <c r="B31" s="3"/>
      <c r="C31" s="3"/>
      <c r="D31" s="3"/>
      <c r="E31" s="3"/>
      <c r="F31" s="3" t="s">
        <v>6</v>
      </c>
      <c r="G31" s="3">
        <f>510*0.5/35.31</f>
        <v>7.2217502124044177</v>
      </c>
      <c r="H31" s="3">
        <f>Summary!F9</f>
        <v>5000</v>
      </c>
      <c r="I31" s="3">
        <f t="shared" si="1"/>
        <v>36108.751062022086</v>
      </c>
      <c r="J31" s="4"/>
      <c r="K31" s="4"/>
    </row>
    <row r="32" spans="1:11" ht="15.75" customHeight="1">
      <c r="A32" s="3" t="s">
        <v>11</v>
      </c>
      <c r="B32" s="3"/>
      <c r="C32" s="3"/>
      <c r="D32" s="3"/>
      <c r="E32" s="3"/>
      <c r="F32" s="3" t="s">
        <v>12</v>
      </c>
      <c r="G32" s="3">
        <f>G33*2</f>
        <v>1020</v>
      </c>
      <c r="H32" s="3">
        <f>Summary!F10</f>
        <v>90</v>
      </c>
      <c r="I32" s="3">
        <f t="shared" si="1"/>
        <v>91800</v>
      </c>
      <c r="J32" s="4"/>
      <c r="K32" s="4"/>
    </row>
    <row r="33" spans="1:11" ht="15.75" customHeight="1">
      <c r="A33" s="3" t="s">
        <v>65</v>
      </c>
      <c r="B33" s="3"/>
      <c r="C33" s="3"/>
      <c r="D33" s="3"/>
      <c r="E33" s="3"/>
      <c r="F33" s="3" t="s">
        <v>14</v>
      </c>
      <c r="G33" s="3">
        <f>510</f>
        <v>510</v>
      </c>
      <c r="H33" s="3">
        <v>120</v>
      </c>
      <c r="I33" s="3">
        <f t="shared" si="1"/>
        <v>61200</v>
      </c>
      <c r="J33" s="4"/>
      <c r="K33" s="4"/>
    </row>
    <row r="34" spans="1:11" ht="15.75" customHeight="1">
      <c r="A34" s="3" t="s">
        <v>66</v>
      </c>
      <c r="B34" s="3"/>
      <c r="C34" s="3"/>
      <c r="D34" s="3"/>
      <c r="E34" s="3"/>
      <c r="F34" s="3"/>
      <c r="G34" s="3"/>
      <c r="H34" s="3"/>
      <c r="I34" s="3">
        <f>(3*700)+500</f>
        <v>2600</v>
      </c>
      <c r="J34" s="4"/>
      <c r="K34" s="4"/>
    </row>
    <row r="35" spans="1:11" ht="15.75" customHeight="1">
      <c r="A35" s="3" t="s">
        <v>13</v>
      </c>
      <c r="B35" s="3"/>
      <c r="C35" s="3"/>
      <c r="D35" s="3"/>
      <c r="E35" s="3"/>
      <c r="F35" s="3" t="s">
        <v>8</v>
      </c>
      <c r="G35" s="3">
        <v>2778.45</v>
      </c>
      <c r="H35" s="3">
        <f>Summary!F11</f>
        <v>80</v>
      </c>
      <c r="I35" s="3">
        <f>G35*H35</f>
        <v>222276</v>
      </c>
      <c r="J35" s="4"/>
      <c r="K35" s="4"/>
    </row>
    <row r="36" spans="1:11" ht="15.75" customHeight="1">
      <c r="A36" s="3" t="s">
        <v>15</v>
      </c>
      <c r="B36" s="3">
        <v>1</v>
      </c>
      <c r="C36" s="3">
        <v>14.8</v>
      </c>
      <c r="D36" s="3">
        <v>8.1999999999999993</v>
      </c>
      <c r="E36" s="3"/>
      <c r="F36" s="3" t="s">
        <v>67</v>
      </c>
      <c r="G36" s="3">
        <f>C36*D36</f>
        <v>121.36</v>
      </c>
      <c r="H36" s="3"/>
      <c r="I36" s="3"/>
      <c r="J36" s="4"/>
      <c r="K36" s="4"/>
    </row>
    <row r="37" spans="1:11" ht="15.75" customHeight="1">
      <c r="A37" s="3"/>
      <c r="B37" s="3" t="s">
        <v>68</v>
      </c>
      <c r="C37" s="3"/>
      <c r="D37" s="3"/>
      <c r="E37" s="3"/>
      <c r="F37" s="3"/>
      <c r="G37" s="3">
        <f>G36*-0.1</f>
        <v>-12.136000000000001</v>
      </c>
      <c r="H37" s="3"/>
      <c r="I37" s="3"/>
      <c r="J37" s="4"/>
      <c r="K37" s="4"/>
    </row>
    <row r="38" spans="1:11" ht="15.75" customHeight="1">
      <c r="A38" s="3"/>
      <c r="B38" s="3">
        <v>2</v>
      </c>
      <c r="C38" s="3">
        <v>3</v>
      </c>
      <c r="D38" s="3">
        <v>1.75</v>
      </c>
      <c r="E38" s="3"/>
      <c r="F38" s="3"/>
      <c r="G38" s="3">
        <f>C38*D38</f>
        <v>5.25</v>
      </c>
      <c r="H38" s="3"/>
      <c r="I38" s="3"/>
      <c r="J38" s="4"/>
      <c r="K38" s="4"/>
    </row>
    <row r="39" spans="1:11" ht="15.75" customHeight="1">
      <c r="A39" s="3"/>
      <c r="B39" s="3"/>
      <c r="C39" s="3"/>
      <c r="D39" s="3"/>
      <c r="E39" s="3"/>
      <c r="F39" s="3"/>
      <c r="G39" s="3">
        <f>SUM(G36:G38)</f>
        <v>114.474</v>
      </c>
      <c r="H39" s="3">
        <f>Summary!F12</f>
        <v>90</v>
      </c>
      <c r="I39" s="3">
        <f>G39*H39*10.78</f>
        <v>111062.67479999999</v>
      </c>
      <c r="J39" s="4"/>
      <c r="K39" s="4"/>
    </row>
    <row r="40" spans="1:11" ht="15.75" customHeight="1">
      <c r="A40" s="3" t="s">
        <v>16</v>
      </c>
      <c r="B40" s="3"/>
      <c r="C40" s="3"/>
      <c r="D40" s="3"/>
      <c r="E40" s="3"/>
      <c r="F40" s="3" t="s">
        <v>14</v>
      </c>
      <c r="G40" s="3">
        <v>142.76</v>
      </c>
      <c r="H40" s="3">
        <f>Summary!F13</f>
        <v>110</v>
      </c>
      <c r="I40" s="3">
        <f t="shared" ref="I40:I41" si="2">G40*H40</f>
        <v>15703.599999999999</v>
      </c>
      <c r="J40" s="4"/>
      <c r="K40" s="4"/>
    </row>
    <row r="41" spans="1:11" ht="15.75" customHeight="1">
      <c r="A41" s="3" t="s">
        <v>69</v>
      </c>
      <c r="B41" s="3"/>
      <c r="C41" s="3"/>
      <c r="D41" s="3"/>
      <c r="E41" s="3"/>
      <c r="F41" s="3" t="s">
        <v>70</v>
      </c>
      <c r="G41" s="3">
        <v>245</v>
      </c>
      <c r="H41" s="3">
        <v>22</v>
      </c>
      <c r="I41" s="3">
        <f t="shared" si="2"/>
        <v>5390</v>
      </c>
      <c r="J41" s="4"/>
      <c r="K41" s="4"/>
    </row>
    <row r="42" spans="1:11" ht="15.75" customHeight="1">
      <c r="A42" s="3" t="s">
        <v>71</v>
      </c>
      <c r="B42" s="3"/>
      <c r="C42" s="3"/>
      <c r="D42" s="3"/>
      <c r="E42" s="3"/>
      <c r="F42" s="3" t="s">
        <v>12</v>
      </c>
      <c r="G42" s="3">
        <f>80*3</f>
        <v>240</v>
      </c>
      <c r="H42" s="3">
        <v>145</v>
      </c>
      <c r="I42" s="3"/>
      <c r="J42" s="4"/>
      <c r="K42" s="4"/>
    </row>
    <row r="43" spans="1:11" ht="15.75" customHeight="1">
      <c r="A43" s="3" t="s">
        <v>72</v>
      </c>
      <c r="B43" s="3"/>
      <c r="C43" s="3"/>
      <c r="D43" s="3"/>
      <c r="E43" s="3"/>
      <c r="F43" s="3"/>
      <c r="G43" s="3"/>
      <c r="H43" s="3"/>
      <c r="I43" s="3"/>
      <c r="J43" s="4"/>
      <c r="K43" s="4"/>
    </row>
    <row r="44" spans="1:11" ht="15.75" customHeight="1">
      <c r="A44" s="3" t="s">
        <v>73</v>
      </c>
      <c r="B44" s="3"/>
      <c r="C44" s="3"/>
      <c r="D44" s="3"/>
      <c r="E44" s="3"/>
      <c r="F44" s="3" t="s">
        <v>12</v>
      </c>
      <c r="G44" s="3">
        <v>398</v>
      </c>
      <c r="H44" s="3">
        <f>Summary!F14</f>
        <v>130</v>
      </c>
      <c r="I44" s="3">
        <f t="shared" ref="I44:I47" si="3">G44*H44</f>
        <v>51740</v>
      </c>
      <c r="J44" s="4"/>
      <c r="K44" s="4"/>
    </row>
    <row r="45" spans="1:11" ht="15.75" customHeight="1">
      <c r="A45" s="3" t="s">
        <v>19</v>
      </c>
      <c r="B45" s="3"/>
      <c r="C45" s="3">
        <v>8.6</v>
      </c>
      <c r="D45" s="3">
        <v>4.1399999999999997</v>
      </c>
      <c r="E45" s="3"/>
      <c r="F45" s="3" t="s">
        <v>14</v>
      </c>
      <c r="G45" s="3">
        <f>C45*D45*10.76</f>
        <v>383.09904</v>
      </c>
      <c r="H45" s="3">
        <v>0</v>
      </c>
      <c r="I45" s="3">
        <f t="shared" si="3"/>
        <v>0</v>
      </c>
      <c r="J45" s="4"/>
      <c r="K45" s="4"/>
    </row>
    <row r="46" spans="1:11" ht="15.75" customHeight="1">
      <c r="A46" s="3" t="s">
        <v>18</v>
      </c>
      <c r="B46" s="3"/>
      <c r="C46" s="3"/>
      <c r="D46" s="3"/>
      <c r="E46" s="3"/>
      <c r="F46" s="3" t="s">
        <v>14</v>
      </c>
      <c r="G46" s="3">
        <f>G45</f>
        <v>383.09904</v>
      </c>
      <c r="H46" s="3">
        <f>Summary!F15</f>
        <v>23</v>
      </c>
      <c r="I46" s="3">
        <f t="shared" si="3"/>
        <v>8811.2779200000004</v>
      </c>
      <c r="J46" s="4"/>
      <c r="K46" s="4"/>
    </row>
    <row r="47" spans="1:11" ht="15.75" customHeight="1">
      <c r="A47" s="3" t="s">
        <v>74</v>
      </c>
      <c r="B47" s="3"/>
      <c r="C47" s="3"/>
      <c r="D47" s="3"/>
      <c r="E47" s="3"/>
      <c r="F47" s="3" t="s">
        <v>14</v>
      </c>
      <c r="G47" s="3">
        <f>G45</f>
        <v>383.09904</v>
      </c>
      <c r="H47" s="3">
        <f>Summary!F18</f>
        <v>60</v>
      </c>
      <c r="I47" s="3">
        <f t="shared" si="3"/>
        <v>22985.9424</v>
      </c>
      <c r="J47" s="4"/>
      <c r="K47" s="4"/>
    </row>
    <row r="48" spans="1:11" ht="15.75" customHeight="1">
      <c r="A48" s="3" t="s">
        <v>75</v>
      </c>
      <c r="B48" s="3"/>
      <c r="C48" s="3"/>
      <c r="D48" s="3"/>
      <c r="E48" s="3"/>
      <c r="F48" s="3"/>
      <c r="G48" s="3"/>
      <c r="H48" s="3"/>
      <c r="I48" s="3">
        <v>90000</v>
      </c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6">
        <f>SUM(I2:I48)</f>
        <v>1266234.0381820223</v>
      </c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>
      <selection activeCell="D7" sqref="D7"/>
    </sheetView>
  </sheetViews>
  <sheetFormatPr baseColWidth="10" defaultColWidth="12.6640625" defaultRowHeight="15" customHeight="1"/>
  <cols>
    <col min="1" max="1" width="10.6640625" customWidth="1"/>
    <col min="2" max="2" width="46.1640625" customWidth="1"/>
    <col min="3" max="3" width="11.83203125" customWidth="1"/>
    <col min="4" max="4" width="15.5" customWidth="1"/>
    <col min="5" max="5" width="12.1640625" customWidth="1"/>
    <col min="6" max="6" width="19.83203125" customWidth="1"/>
    <col min="7" max="11" width="10.6640625" customWidth="1"/>
  </cols>
  <sheetData>
    <row r="1" spans="1:6" ht="15.75" customHeight="1">
      <c r="A1" s="7" t="s">
        <v>76</v>
      </c>
      <c r="B1" s="8" t="s">
        <v>77</v>
      </c>
      <c r="C1" s="9" t="s">
        <v>3</v>
      </c>
      <c r="D1" s="8" t="s">
        <v>78</v>
      </c>
      <c r="E1" s="10" t="s">
        <v>79</v>
      </c>
      <c r="F1" s="10" t="s">
        <v>80</v>
      </c>
    </row>
    <row r="2" spans="1:6" ht="15.75" customHeight="1">
      <c r="A2" s="11">
        <v>1</v>
      </c>
      <c r="B2" s="12" t="s">
        <v>81</v>
      </c>
      <c r="C2" s="12" t="s">
        <v>82</v>
      </c>
      <c r="D2" s="13">
        <f>Summary!F14</f>
        <v>130</v>
      </c>
      <c r="E2" s="14">
        <f>5940+560</f>
        <v>6500</v>
      </c>
      <c r="F2" s="15">
        <f t="shared" ref="F2:F5" si="0">D2*E2</f>
        <v>845000</v>
      </c>
    </row>
    <row r="3" spans="1:6" ht="15.75" customHeight="1">
      <c r="A3" s="11">
        <v>2</v>
      </c>
      <c r="B3" s="12" t="s">
        <v>83</v>
      </c>
      <c r="C3" s="12" t="s">
        <v>84</v>
      </c>
      <c r="D3" s="13">
        <v>90</v>
      </c>
      <c r="E3" s="14">
        <v>2557.7199999999998</v>
      </c>
      <c r="F3" s="15">
        <f t="shared" si="0"/>
        <v>230194.8</v>
      </c>
    </row>
    <row r="4" spans="1:6" ht="15.75" customHeight="1">
      <c r="A4" s="11">
        <v>3</v>
      </c>
      <c r="B4" s="12" t="s">
        <v>85</v>
      </c>
      <c r="C4" s="12" t="s">
        <v>84</v>
      </c>
      <c r="D4" s="13">
        <v>200</v>
      </c>
      <c r="E4" s="14">
        <v>2557.7199999999998</v>
      </c>
      <c r="F4" s="15">
        <f t="shared" si="0"/>
        <v>511543.99999999994</v>
      </c>
    </row>
    <row r="5" spans="1:6" ht="15.75" customHeight="1">
      <c r="A5" s="11">
        <v>4</v>
      </c>
      <c r="B5" s="12" t="s">
        <v>86</v>
      </c>
      <c r="C5" s="12" t="s">
        <v>84</v>
      </c>
      <c r="D5" s="13">
        <f>Summary!F18</f>
        <v>60</v>
      </c>
      <c r="E5" s="14">
        <v>2557.7199999999998</v>
      </c>
      <c r="F5" s="15">
        <f t="shared" si="0"/>
        <v>153463.19999999998</v>
      </c>
    </row>
    <row r="6" spans="1:6" ht="15.75" customHeight="1">
      <c r="A6" s="11">
        <v>5</v>
      </c>
      <c r="B6" s="12" t="s">
        <v>87</v>
      </c>
      <c r="C6" s="12" t="s">
        <v>88</v>
      </c>
      <c r="D6" s="13"/>
      <c r="E6" s="14">
        <v>1</v>
      </c>
      <c r="F6" s="15">
        <v>700000</v>
      </c>
    </row>
    <row r="7" spans="1:6" ht="15.75" customHeight="1">
      <c r="A7" s="11">
        <v>6</v>
      </c>
      <c r="B7" s="12" t="s">
        <v>5</v>
      </c>
      <c r="C7" s="12" t="s">
        <v>89</v>
      </c>
      <c r="D7" s="13">
        <f>Summary!F6/35.31</f>
        <v>169.9235344095157</v>
      </c>
      <c r="E7" s="14">
        <v>1899.75</v>
      </c>
      <c r="F7" s="15">
        <f t="shared" ref="F7:F21" si="1">D7*E7</f>
        <v>322812.23449447745</v>
      </c>
    </row>
    <row r="8" spans="1:6" ht="15.75" customHeight="1">
      <c r="A8" s="11">
        <v>7</v>
      </c>
      <c r="B8" s="12" t="s">
        <v>90</v>
      </c>
      <c r="C8" s="12" t="s">
        <v>84</v>
      </c>
      <c r="D8" s="13">
        <f>Summary!F8</f>
        <v>45</v>
      </c>
      <c r="E8" s="14">
        <v>3582.71</v>
      </c>
      <c r="F8" s="15">
        <f t="shared" si="1"/>
        <v>161221.95000000001</v>
      </c>
    </row>
    <row r="9" spans="1:6" ht="15.75" customHeight="1">
      <c r="A9" s="11">
        <v>8</v>
      </c>
      <c r="B9" s="12" t="s">
        <v>7</v>
      </c>
      <c r="C9" s="12" t="s">
        <v>84</v>
      </c>
      <c r="D9" s="13">
        <f>Summary!F7</f>
        <v>30</v>
      </c>
      <c r="E9" s="14">
        <v>3441.61</v>
      </c>
      <c r="F9" s="15">
        <f t="shared" si="1"/>
        <v>103248.3</v>
      </c>
    </row>
    <row r="10" spans="1:6" ht="15.75" customHeight="1">
      <c r="A10" s="11">
        <v>9</v>
      </c>
      <c r="B10" s="12" t="s">
        <v>91</v>
      </c>
      <c r="C10" s="12" t="s">
        <v>84</v>
      </c>
      <c r="D10" s="13"/>
      <c r="E10" s="14">
        <f>3450+3590</f>
        <v>7040</v>
      </c>
      <c r="F10" s="15">
        <f t="shared" si="1"/>
        <v>0</v>
      </c>
    </row>
    <row r="11" spans="1:6" ht="15.75" customHeight="1">
      <c r="A11" s="11">
        <v>10</v>
      </c>
      <c r="B11" s="12" t="s">
        <v>92</v>
      </c>
      <c r="C11" s="12" t="s">
        <v>84</v>
      </c>
      <c r="D11" s="13"/>
      <c r="E11" s="14">
        <v>3725</v>
      </c>
      <c r="F11" s="15">
        <f t="shared" si="1"/>
        <v>0</v>
      </c>
    </row>
    <row r="12" spans="1:6" ht="15.75" customHeight="1">
      <c r="A12" s="11">
        <v>11</v>
      </c>
      <c r="B12" s="12" t="s">
        <v>93</v>
      </c>
      <c r="C12" s="12" t="s">
        <v>94</v>
      </c>
      <c r="D12" s="13">
        <f>Summary!F13</f>
        <v>110</v>
      </c>
      <c r="E12" s="14">
        <v>800</v>
      </c>
      <c r="F12" s="15">
        <f t="shared" si="1"/>
        <v>88000</v>
      </c>
    </row>
    <row r="13" spans="1:6" ht="15.75" customHeight="1">
      <c r="A13" s="11">
        <v>12</v>
      </c>
      <c r="B13" s="12" t="s">
        <v>69</v>
      </c>
      <c r="C13" s="12" t="s">
        <v>95</v>
      </c>
      <c r="D13" s="13">
        <v>25</v>
      </c>
      <c r="E13" s="14">
        <v>900</v>
      </c>
      <c r="F13" s="15">
        <f t="shared" si="1"/>
        <v>22500</v>
      </c>
    </row>
    <row r="14" spans="1:6" ht="15.75" customHeight="1">
      <c r="A14" s="11">
        <v>13</v>
      </c>
      <c r="B14" s="12" t="s">
        <v>96</v>
      </c>
      <c r="C14" s="12" t="s">
        <v>88</v>
      </c>
      <c r="D14" s="13">
        <v>0</v>
      </c>
      <c r="E14" s="14">
        <v>1</v>
      </c>
      <c r="F14" s="15">
        <f t="shared" si="1"/>
        <v>0</v>
      </c>
    </row>
    <row r="15" spans="1:6" ht="15.75" customHeight="1">
      <c r="A15" s="11">
        <v>14</v>
      </c>
      <c r="B15" s="12" t="s">
        <v>97</v>
      </c>
      <c r="C15" s="12" t="s">
        <v>84</v>
      </c>
      <c r="D15" s="13">
        <f>Summary!F19</f>
        <v>230</v>
      </c>
      <c r="E15" s="14">
        <v>640</v>
      </c>
      <c r="F15" s="15">
        <f t="shared" si="1"/>
        <v>147200</v>
      </c>
    </row>
    <row r="16" spans="1:6" ht="15.75" customHeight="1">
      <c r="A16" s="11">
        <v>15</v>
      </c>
      <c r="B16" s="12" t="s">
        <v>98</v>
      </c>
      <c r="C16" s="12" t="s">
        <v>88</v>
      </c>
      <c r="D16" s="16">
        <v>0</v>
      </c>
      <c r="E16" s="14">
        <v>1</v>
      </c>
      <c r="F16" s="15">
        <f t="shared" si="1"/>
        <v>0</v>
      </c>
    </row>
    <row r="17" spans="1:6" ht="15.75" customHeight="1">
      <c r="A17" s="11">
        <v>16</v>
      </c>
      <c r="B17" s="12" t="s">
        <v>99</v>
      </c>
      <c r="C17" s="12" t="s">
        <v>88</v>
      </c>
      <c r="D17" s="16">
        <v>0</v>
      </c>
      <c r="E17" s="14"/>
      <c r="F17" s="15">
        <f t="shared" si="1"/>
        <v>0</v>
      </c>
    </row>
    <row r="18" spans="1:6" ht="15.75" customHeight="1">
      <c r="A18" s="11">
        <v>17</v>
      </c>
      <c r="B18" s="12" t="s">
        <v>100</v>
      </c>
      <c r="C18" s="12" t="s">
        <v>101</v>
      </c>
      <c r="D18" s="13">
        <v>1200</v>
      </c>
      <c r="E18" s="14">
        <v>26.17</v>
      </c>
      <c r="F18" s="15">
        <f t="shared" si="1"/>
        <v>31404.000000000004</v>
      </c>
    </row>
    <row r="19" spans="1:6" ht="15.75" customHeight="1">
      <c r="A19" s="11">
        <v>18</v>
      </c>
      <c r="B19" s="12" t="s">
        <v>102</v>
      </c>
      <c r="C19" s="12" t="s">
        <v>103</v>
      </c>
      <c r="D19" s="13">
        <v>490</v>
      </c>
      <c r="E19" s="14"/>
      <c r="F19" s="15">
        <f t="shared" si="1"/>
        <v>0</v>
      </c>
    </row>
    <row r="20" spans="1:6" ht="15.75" customHeight="1">
      <c r="A20" s="11">
        <v>19</v>
      </c>
      <c r="B20" s="12" t="s">
        <v>104</v>
      </c>
      <c r="C20" s="12" t="s">
        <v>103</v>
      </c>
      <c r="D20" s="13">
        <v>490</v>
      </c>
      <c r="E20" s="14"/>
      <c r="F20" s="15">
        <f t="shared" si="1"/>
        <v>0</v>
      </c>
    </row>
    <row r="21" spans="1:6" ht="15.75" customHeight="1">
      <c r="A21" s="11">
        <v>20</v>
      </c>
      <c r="B21" s="12" t="s">
        <v>105</v>
      </c>
      <c r="C21" s="12" t="s">
        <v>103</v>
      </c>
      <c r="D21" s="13">
        <v>735</v>
      </c>
      <c r="E21" s="14"/>
      <c r="F21" s="15">
        <f t="shared" si="1"/>
        <v>0</v>
      </c>
    </row>
    <row r="22" spans="1:6" ht="15.75" customHeight="1">
      <c r="A22" s="17"/>
      <c r="B22" s="18"/>
      <c r="C22" s="18"/>
      <c r="D22" s="18"/>
      <c r="E22" s="19"/>
      <c r="F22" s="18"/>
    </row>
    <row r="23" spans="1:6" ht="15.75" customHeight="1">
      <c r="A23" s="20"/>
      <c r="B23" s="21" t="s">
        <v>106</v>
      </c>
      <c r="C23" s="21"/>
      <c r="D23" s="22"/>
      <c r="E23" s="22"/>
      <c r="F23" s="23">
        <f>SUM(F2:F21)</f>
        <v>3316588.4844944775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"/>
  <sheetViews>
    <sheetView workbookViewId="0">
      <selection activeCell="L2" sqref="L2:L7"/>
    </sheetView>
  </sheetViews>
  <sheetFormatPr baseColWidth="10" defaultColWidth="12.6640625" defaultRowHeight="15" customHeight="1"/>
  <cols>
    <col min="1" max="1" width="10.6640625" customWidth="1"/>
    <col min="2" max="2" width="54" customWidth="1"/>
    <col min="3" max="3" width="12.33203125" customWidth="1"/>
    <col min="4" max="4" width="16.1640625" customWidth="1"/>
    <col min="5" max="5" width="14.1640625" customWidth="1"/>
    <col min="6" max="6" width="19.83203125" customWidth="1"/>
    <col min="7" max="7" width="10.6640625" customWidth="1"/>
    <col min="8" max="8" width="19.83203125" customWidth="1"/>
    <col min="9" max="9" width="10.6640625" customWidth="1"/>
    <col min="10" max="10" width="19.83203125" customWidth="1"/>
    <col min="11" max="11" width="14.1640625" customWidth="1"/>
    <col min="12" max="12" width="19.33203125" customWidth="1"/>
  </cols>
  <sheetData>
    <row r="1" spans="1:12" ht="15.75" customHeight="1">
      <c r="A1" s="7" t="s">
        <v>76</v>
      </c>
      <c r="B1" s="8" t="s">
        <v>77</v>
      </c>
      <c r="C1" s="9" t="s">
        <v>3</v>
      </c>
      <c r="D1" s="8" t="s">
        <v>78</v>
      </c>
      <c r="E1" s="10" t="s">
        <v>79</v>
      </c>
      <c r="F1" s="10" t="s">
        <v>80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</row>
    <row r="2" spans="1:12" ht="15.75" customHeight="1">
      <c r="A2" s="11">
        <v>1</v>
      </c>
      <c r="B2" s="12" t="s">
        <v>81</v>
      </c>
      <c r="C2" s="12" t="s">
        <v>82</v>
      </c>
      <c r="D2" s="13">
        <f>Summary!F14</f>
        <v>130</v>
      </c>
      <c r="E2" s="14">
        <f>3375+830</f>
        <v>4205</v>
      </c>
      <c r="F2" s="15">
        <f t="shared" ref="F2:F26" si="0">D2*E2</f>
        <v>546650</v>
      </c>
      <c r="G2" s="14"/>
      <c r="H2" s="15">
        <f t="shared" ref="H2:H26" si="1">D2*G2</f>
        <v>0</v>
      </c>
      <c r="I2" s="14"/>
      <c r="J2" s="15">
        <f t="shared" ref="J2:J26" si="2">D2*I2</f>
        <v>0</v>
      </c>
      <c r="K2" s="15">
        <f t="shared" ref="K2:L2" si="3">E2+G2+I2</f>
        <v>4205</v>
      </c>
      <c r="L2" s="15">
        <f t="shared" si="3"/>
        <v>546650</v>
      </c>
    </row>
    <row r="3" spans="1:12" ht="15.75" customHeight="1">
      <c r="A3" s="11">
        <v>2</v>
      </c>
      <c r="B3" s="12" t="s">
        <v>83</v>
      </c>
      <c r="C3" s="12" t="s">
        <v>84</v>
      </c>
      <c r="D3" s="13">
        <v>90</v>
      </c>
      <c r="E3" s="14">
        <v>1347.66</v>
      </c>
      <c r="F3" s="15">
        <f t="shared" si="0"/>
        <v>121289.40000000001</v>
      </c>
      <c r="G3" s="14"/>
      <c r="H3" s="15">
        <f t="shared" si="1"/>
        <v>0</v>
      </c>
      <c r="I3" s="14"/>
      <c r="J3" s="15">
        <f t="shared" si="2"/>
        <v>0</v>
      </c>
      <c r="K3" s="15">
        <f t="shared" ref="K3:L3" si="4">E3+G3+I3</f>
        <v>1347.66</v>
      </c>
      <c r="L3" s="15">
        <f t="shared" si="4"/>
        <v>121289.40000000001</v>
      </c>
    </row>
    <row r="4" spans="1:12" ht="15.75" customHeight="1">
      <c r="A4" s="11">
        <v>3</v>
      </c>
      <c r="B4" s="12" t="s">
        <v>85</v>
      </c>
      <c r="C4" s="12" t="s">
        <v>84</v>
      </c>
      <c r="D4" s="13">
        <v>200</v>
      </c>
      <c r="E4" s="14">
        <f>E3</f>
        <v>1347.66</v>
      </c>
      <c r="F4" s="15">
        <f t="shared" si="0"/>
        <v>269532</v>
      </c>
      <c r="G4" s="14"/>
      <c r="H4" s="15">
        <f t="shared" si="1"/>
        <v>0</v>
      </c>
      <c r="I4" s="14"/>
      <c r="J4" s="15">
        <f t="shared" si="2"/>
        <v>0</v>
      </c>
      <c r="K4" s="15">
        <f t="shared" ref="K4:L4" si="5">E4+G4+I4</f>
        <v>1347.66</v>
      </c>
      <c r="L4" s="15">
        <f t="shared" si="5"/>
        <v>269532</v>
      </c>
    </row>
    <row r="5" spans="1:12" ht="15.75" customHeight="1">
      <c r="A5" s="11">
        <v>4</v>
      </c>
      <c r="B5" s="12" t="s">
        <v>86</v>
      </c>
      <c r="C5" s="12" t="s">
        <v>84</v>
      </c>
      <c r="D5" s="13">
        <f>Summary!F18</f>
        <v>60</v>
      </c>
      <c r="E5" s="14">
        <f>E3</f>
        <v>1347.66</v>
      </c>
      <c r="F5" s="15">
        <f t="shared" si="0"/>
        <v>80859.600000000006</v>
      </c>
      <c r="G5" s="14"/>
      <c r="H5" s="15">
        <f t="shared" si="1"/>
        <v>0</v>
      </c>
      <c r="I5" s="14"/>
      <c r="J5" s="15">
        <f t="shared" si="2"/>
        <v>0</v>
      </c>
      <c r="K5" s="15">
        <f t="shared" ref="K5:L5" si="6">E5+G5+I5</f>
        <v>1347.66</v>
      </c>
      <c r="L5" s="15">
        <f t="shared" si="6"/>
        <v>80859.600000000006</v>
      </c>
    </row>
    <row r="6" spans="1:12" ht="15.75" customHeight="1">
      <c r="A6" s="11">
        <v>5</v>
      </c>
      <c r="B6" s="12" t="s">
        <v>87</v>
      </c>
      <c r="C6" s="12" t="s">
        <v>84</v>
      </c>
      <c r="D6" s="13">
        <v>0</v>
      </c>
      <c r="E6" s="14">
        <v>1</v>
      </c>
      <c r="F6" s="15">
        <f t="shared" si="0"/>
        <v>0</v>
      </c>
      <c r="G6" s="14"/>
      <c r="H6" s="15">
        <f t="shared" si="1"/>
        <v>0</v>
      </c>
      <c r="I6" s="14"/>
      <c r="J6" s="15">
        <f t="shared" si="2"/>
        <v>0</v>
      </c>
      <c r="K6" s="15">
        <f t="shared" ref="K6:L6" si="7">E6+G6+I6</f>
        <v>1</v>
      </c>
      <c r="L6" s="15">
        <f t="shared" si="7"/>
        <v>0</v>
      </c>
    </row>
    <row r="7" spans="1:12" ht="15.75" customHeight="1">
      <c r="A7" s="11">
        <v>6</v>
      </c>
      <c r="B7" s="12" t="s">
        <v>5</v>
      </c>
      <c r="C7" s="12" t="s">
        <v>89</v>
      </c>
      <c r="D7" s="13">
        <f>Summary!F6/35.31</f>
        <v>169.9235344095157</v>
      </c>
      <c r="E7" s="14">
        <v>15.61</v>
      </c>
      <c r="F7" s="15">
        <f t="shared" si="0"/>
        <v>2652.50637213254</v>
      </c>
      <c r="G7" s="14"/>
      <c r="H7" s="15">
        <f t="shared" si="1"/>
        <v>0</v>
      </c>
      <c r="I7" s="14"/>
      <c r="J7" s="15">
        <f t="shared" si="2"/>
        <v>0</v>
      </c>
      <c r="K7" s="15">
        <f t="shared" ref="K7:L7" si="8">E7+G7+I7</f>
        <v>15.61</v>
      </c>
      <c r="L7" s="15">
        <f t="shared" si="8"/>
        <v>2652.50637213254</v>
      </c>
    </row>
    <row r="8" spans="1:12" ht="15.75" customHeight="1">
      <c r="A8" s="11">
        <v>7</v>
      </c>
      <c r="B8" s="12" t="s">
        <v>90</v>
      </c>
      <c r="C8" s="12" t="s">
        <v>84</v>
      </c>
      <c r="D8" s="13">
        <f>Summary!F8</f>
        <v>45</v>
      </c>
      <c r="E8" s="14"/>
      <c r="F8" s="15">
        <f t="shared" si="0"/>
        <v>0</v>
      </c>
      <c r="G8" s="14"/>
      <c r="H8" s="15">
        <f t="shared" si="1"/>
        <v>0</v>
      </c>
      <c r="I8" s="14"/>
      <c r="J8" s="15">
        <f t="shared" si="2"/>
        <v>0</v>
      </c>
      <c r="K8" s="15">
        <f t="shared" ref="K8:L8" si="9">E8+G8+I8</f>
        <v>0</v>
      </c>
      <c r="L8" s="15">
        <f t="shared" si="9"/>
        <v>0</v>
      </c>
    </row>
    <row r="9" spans="1:12" ht="15.75" customHeight="1">
      <c r="A9" s="11">
        <v>8</v>
      </c>
      <c r="B9" s="12" t="s">
        <v>7</v>
      </c>
      <c r="C9" s="12" t="s">
        <v>84</v>
      </c>
      <c r="D9" s="13">
        <f>Summary!F7</f>
        <v>30</v>
      </c>
      <c r="E9" s="14"/>
      <c r="F9" s="15">
        <f t="shared" si="0"/>
        <v>0</v>
      </c>
      <c r="G9" s="14"/>
      <c r="H9" s="15">
        <f t="shared" si="1"/>
        <v>0</v>
      </c>
      <c r="I9" s="14"/>
      <c r="J9" s="15">
        <f t="shared" si="2"/>
        <v>0</v>
      </c>
      <c r="K9" s="15">
        <f t="shared" ref="K9:L9" si="10">E9+G9+I9</f>
        <v>0</v>
      </c>
      <c r="L9" s="15">
        <f t="shared" si="10"/>
        <v>0</v>
      </c>
    </row>
    <row r="10" spans="1:12" ht="15.75" customHeight="1">
      <c r="A10" s="11">
        <v>9</v>
      </c>
      <c r="B10" s="12" t="s">
        <v>91</v>
      </c>
      <c r="C10" s="12" t="s">
        <v>84</v>
      </c>
      <c r="D10" s="13">
        <v>75</v>
      </c>
      <c r="E10" s="14"/>
      <c r="F10" s="15">
        <f t="shared" si="0"/>
        <v>0</v>
      </c>
      <c r="G10" s="14"/>
      <c r="H10" s="15">
        <f t="shared" si="1"/>
        <v>0</v>
      </c>
      <c r="I10" s="14"/>
      <c r="J10" s="15">
        <f t="shared" si="2"/>
        <v>0</v>
      </c>
      <c r="K10" s="15">
        <f t="shared" ref="K10:L10" si="11">E10+G10+I10</f>
        <v>0</v>
      </c>
      <c r="L10" s="15">
        <f t="shared" si="11"/>
        <v>0</v>
      </c>
    </row>
    <row r="11" spans="1:12" ht="15.75" customHeight="1">
      <c r="A11" s="11">
        <v>10</v>
      </c>
      <c r="B11" s="12" t="s">
        <v>92</v>
      </c>
      <c r="C11" s="12" t="s">
        <v>84</v>
      </c>
      <c r="D11" s="13">
        <f>Summary!F12</f>
        <v>90</v>
      </c>
      <c r="E11" s="14"/>
      <c r="F11" s="15">
        <f t="shared" si="0"/>
        <v>0</v>
      </c>
      <c r="G11" s="14"/>
      <c r="H11" s="15">
        <f t="shared" si="1"/>
        <v>0</v>
      </c>
      <c r="I11" s="14"/>
      <c r="J11" s="15">
        <f t="shared" si="2"/>
        <v>0</v>
      </c>
      <c r="K11" s="15">
        <f t="shared" ref="K11:L11" si="12">E11+G11+I11</f>
        <v>0</v>
      </c>
      <c r="L11" s="15">
        <f t="shared" si="12"/>
        <v>0</v>
      </c>
    </row>
    <row r="12" spans="1:12" ht="15.75" customHeight="1">
      <c r="A12" s="11">
        <v>11</v>
      </c>
      <c r="B12" s="12" t="s">
        <v>96</v>
      </c>
      <c r="C12" s="12" t="s">
        <v>88</v>
      </c>
      <c r="D12" s="13">
        <v>125000</v>
      </c>
      <c r="E12" s="14"/>
      <c r="F12" s="15">
        <f t="shared" si="0"/>
        <v>0</v>
      </c>
      <c r="G12" s="14"/>
      <c r="H12" s="15">
        <f t="shared" si="1"/>
        <v>0</v>
      </c>
      <c r="I12" s="14"/>
      <c r="J12" s="15">
        <f t="shared" si="2"/>
        <v>0</v>
      </c>
      <c r="K12" s="15">
        <f t="shared" ref="K12:L12" si="13">E12+G12+I12</f>
        <v>0</v>
      </c>
      <c r="L12" s="15">
        <f t="shared" si="13"/>
        <v>0</v>
      </c>
    </row>
    <row r="13" spans="1:12" ht="15.75" customHeight="1">
      <c r="A13" s="11">
        <v>12</v>
      </c>
      <c r="B13" s="12" t="s">
        <v>97</v>
      </c>
      <c r="C13" s="12" t="s">
        <v>84</v>
      </c>
      <c r="D13" s="13">
        <f>Summary!F19</f>
        <v>230</v>
      </c>
      <c r="E13" s="14"/>
      <c r="F13" s="15">
        <f t="shared" si="0"/>
        <v>0</v>
      </c>
      <c r="G13" s="14"/>
      <c r="H13" s="15">
        <f t="shared" si="1"/>
        <v>0</v>
      </c>
      <c r="I13" s="14"/>
      <c r="J13" s="15">
        <f t="shared" si="2"/>
        <v>0</v>
      </c>
      <c r="K13" s="15">
        <f t="shared" ref="K13:L13" si="14">E13+G13+I13</f>
        <v>0</v>
      </c>
      <c r="L13" s="15">
        <f t="shared" si="14"/>
        <v>0</v>
      </c>
    </row>
    <row r="14" spans="1:12" ht="15.75" customHeight="1">
      <c r="A14" s="11">
        <v>13</v>
      </c>
      <c r="B14" s="12" t="s">
        <v>98</v>
      </c>
      <c r="C14" s="12" t="s">
        <v>88</v>
      </c>
      <c r="D14" s="16">
        <v>205000</v>
      </c>
      <c r="E14" s="14"/>
      <c r="F14" s="15">
        <f t="shared" si="0"/>
        <v>0</v>
      </c>
      <c r="G14" s="14"/>
      <c r="H14" s="15">
        <f t="shared" si="1"/>
        <v>0</v>
      </c>
      <c r="I14" s="14"/>
      <c r="J14" s="15">
        <f t="shared" si="2"/>
        <v>0</v>
      </c>
      <c r="K14" s="15">
        <f t="shared" ref="K14:L14" si="15">E14+G14+I14</f>
        <v>0</v>
      </c>
      <c r="L14" s="15">
        <f t="shared" si="15"/>
        <v>0</v>
      </c>
    </row>
    <row r="15" spans="1:12" ht="15.75" customHeight="1">
      <c r="A15" s="11">
        <v>14</v>
      </c>
      <c r="B15" s="12" t="s">
        <v>99</v>
      </c>
      <c r="C15" s="12" t="s">
        <v>88</v>
      </c>
      <c r="D15" s="16">
        <v>174000</v>
      </c>
      <c r="E15" s="14"/>
      <c r="F15" s="15">
        <f t="shared" si="0"/>
        <v>0</v>
      </c>
      <c r="G15" s="14"/>
      <c r="H15" s="15">
        <f t="shared" si="1"/>
        <v>0</v>
      </c>
      <c r="I15" s="14"/>
      <c r="J15" s="15">
        <f t="shared" si="2"/>
        <v>0</v>
      </c>
      <c r="K15" s="15">
        <f t="shared" ref="K15:L15" si="16">E15+G15+I15</f>
        <v>0</v>
      </c>
      <c r="L15" s="15">
        <f t="shared" si="16"/>
        <v>0</v>
      </c>
    </row>
    <row r="16" spans="1:12" ht="15.75" customHeight="1">
      <c r="A16" s="11">
        <v>15</v>
      </c>
      <c r="B16" s="12" t="s">
        <v>113</v>
      </c>
      <c r="C16" s="12" t="s">
        <v>58</v>
      </c>
      <c r="D16" s="13">
        <v>11</v>
      </c>
      <c r="E16" s="14">
        <v>50000</v>
      </c>
      <c r="F16" s="15">
        <f t="shared" si="0"/>
        <v>550000</v>
      </c>
      <c r="G16" s="14"/>
      <c r="H16" s="15">
        <f t="shared" si="1"/>
        <v>0</v>
      </c>
      <c r="I16" s="14"/>
      <c r="J16" s="15">
        <f t="shared" si="2"/>
        <v>0</v>
      </c>
      <c r="K16" s="15">
        <f t="shared" ref="K16:L16" si="17">E16+G16+I16</f>
        <v>50000</v>
      </c>
      <c r="L16" s="15">
        <f t="shared" si="17"/>
        <v>550000</v>
      </c>
    </row>
    <row r="17" spans="1:12" ht="15.75" customHeight="1">
      <c r="A17" s="11">
        <v>16</v>
      </c>
      <c r="B17" s="12" t="s">
        <v>114</v>
      </c>
      <c r="C17" s="12" t="s">
        <v>58</v>
      </c>
      <c r="D17" s="13">
        <v>11</v>
      </c>
      <c r="E17" s="14">
        <v>18000</v>
      </c>
      <c r="F17" s="15">
        <f t="shared" si="0"/>
        <v>198000</v>
      </c>
      <c r="G17" s="14"/>
      <c r="H17" s="15">
        <f t="shared" si="1"/>
        <v>0</v>
      </c>
      <c r="I17" s="14"/>
      <c r="J17" s="15">
        <f t="shared" si="2"/>
        <v>0</v>
      </c>
      <c r="K17" s="15">
        <f t="shared" ref="K17:L17" si="18">E17+G17+I17</f>
        <v>18000</v>
      </c>
      <c r="L17" s="15">
        <f t="shared" si="18"/>
        <v>198000</v>
      </c>
    </row>
    <row r="18" spans="1:12" ht="15.75" customHeight="1">
      <c r="A18" s="11">
        <v>17</v>
      </c>
      <c r="B18" s="12" t="s">
        <v>115</v>
      </c>
      <c r="C18" s="12" t="s">
        <v>88</v>
      </c>
      <c r="D18" s="13">
        <v>45000</v>
      </c>
      <c r="E18" s="14">
        <v>1</v>
      </c>
      <c r="F18" s="15">
        <f t="shared" si="0"/>
        <v>45000</v>
      </c>
      <c r="G18" s="14"/>
      <c r="H18" s="15">
        <f t="shared" si="1"/>
        <v>0</v>
      </c>
      <c r="I18" s="14"/>
      <c r="J18" s="15">
        <f t="shared" si="2"/>
        <v>0</v>
      </c>
      <c r="K18" s="15">
        <f t="shared" ref="K18:L18" si="19">E18+G18+I18</f>
        <v>1</v>
      </c>
      <c r="L18" s="15">
        <f t="shared" si="19"/>
        <v>45000</v>
      </c>
    </row>
    <row r="19" spans="1:12" ht="15.75" customHeight="1">
      <c r="A19" s="11">
        <v>18</v>
      </c>
      <c r="B19" s="12" t="s">
        <v>116</v>
      </c>
      <c r="C19" s="12" t="s">
        <v>117</v>
      </c>
      <c r="D19" s="13">
        <v>850</v>
      </c>
      <c r="E19" s="14"/>
      <c r="F19" s="15">
        <f t="shared" si="0"/>
        <v>0</v>
      </c>
      <c r="G19" s="14"/>
      <c r="H19" s="15">
        <f t="shared" si="1"/>
        <v>0</v>
      </c>
      <c r="I19" s="14"/>
      <c r="J19" s="15">
        <f t="shared" si="2"/>
        <v>0</v>
      </c>
      <c r="K19" s="15">
        <f t="shared" ref="K19:L19" si="20">E19+G19+I19</f>
        <v>0</v>
      </c>
      <c r="L19" s="15">
        <f t="shared" si="20"/>
        <v>0</v>
      </c>
    </row>
    <row r="20" spans="1:12" ht="15.75" customHeight="1">
      <c r="A20" s="11">
        <v>19</v>
      </c>
      <c r="B20" s="12" t="s">
        <v>118</v>
      </c>
      <c r="C20" s="12" t="s">
        <v>84</v>
      </c>
      <c r="D20" s="13">
        <v>180</v>
      </c>
      <c r="E20" s="14"/>
      <c r="F20" s="15">
        <f t="shared" si="0"/>
        <v>0</v>
      </c>
      <c r="G20" s="14"/>
      <c r="H20" s="15">
        <f t="shared" si="1"/>
        <v>0</v>
      </c>
      <c r="I20" s="14"/>
      <c r="J20" s="15">
        <f t="shared" si="2"/>
        <v>0</v>
      </c>
      <c r="K20" s="15">
        <f t="shared" ref="K20:L20" si="21">E20+G20+I20</f>
        <v>0</v>
      </c>
      <c r="L20" s="15">
        <f t="shared" si="21"/>
        <v>0</v>
      </c>
    </row>
    <row r="21" spans="1:12" ht="15.75" customHeight="1">
      <c r="A21" s="11">
        <v>20</v>
      </c>
      <c r="B21" s="12" t="s">
        <v>100</v>
      </c>
      <c r="C21" s="12" t="s">
        <v>101</v>
      </c>
      <c r="D21" s="13">
        <v>1740</v>
      </c>
      <c r="E21" s="14"/>
      <c r="F21" s="15">
        <f t="shared" si="0"/>
        <v>0</v>
      </c>
      <c r="G21" s="14"/>
      <c r="H21" s="15">
        <f t="shared" si="1"/>
        <v>0</v>
      </c>
      <c r="I21" s="14"/>
      <c r="J21" s="15">
        <f t="shared" si="2"/>
        <v>0</v>
      </c>
      <c r="K21" s="15">
        <f t="shared" ref="K21:L21" si="22">E21+G21+I21</f>
        <v>0</v>
      </c>
      <c r="L21" s="15">
        <f t="shared" si="22"/>
        <v>0</v>
      </c>
    </row>
    <row r="22" spans="1:12" ht="15.75" customHeight="1">
      <c r="A22" s="11">
        <v>21</v>
      </c>
      <c r="B22" s="12" t="s">
        <v>102</v>
      </c>
      <c r="C22" s="12" t="s">
        <v>103</v>
      </c>
      <c r="D22" s="13">
        <v>490</v>
      </c>
      <c r="E22" s="14"/>
      <c r="F22" s="15">
        <f t="shared" si="0"/>
        <v>0</v>
      </c>
      <c r="G22" s="14"/>
      <c r="H22" s="15">
        <f t="shared" si="1"/>
        <v>0</v>
      </c>
      <c r="I22" s="14"/>
      <c r="J22" s="15">
        <f t="shared" si="2"/>
        <v>0</v>
      </c>
      <c r="K22" s="15">
        <f t="shared" ref="K22:L22" si="23">E22+G22+I22</f>
        <v>0</v>
      </c>
      <c r="L22" s="15">
        <f t="shared" si="23"/>
        <v>0</v>
      </c>
    </row>
    <row r="23" spans="1:12" ht="15.75" customHeight="1">
      <c r="A23" s="11">
        <v>22</v>
      </c>
      <c r="B23" s="12" t="s">
        <v>104</v>
      </c>
      <c r="C23" s="12" t="s">
        <v>103</v>
      </c>
      <c r="D23" s="13">
        <v>490</v>
      </c>
      <c r="E23" s="14"/>
      <c r="F23" s="15">
        <f t="shared" si="0"/>
        <v>0</v>
      </c>
      <c r="G23" s="14"/>
      <c r="H23" s="15">
        <f t="shared" si="1"/>
        <v>0</v>
      </c>
      <c r="I23" s="14"/>
      <c r="J23" s="15">
        <f t="shared" si="2"/>
        <v>0</v>
      </c>
      <c r="K23" s="15">
        <f t="shared" ref="K23:L23" si="24">E23+G23+I23</f>
        <v>0</v>
      </c>
      <c r="L23" s="15">
        <f t="shared" si="24"/>
        <v>0</v>
      </c>
    </row>
    <row r="24" spans="1:12" ht="15.75" customHeight="1">
      <c r="A24" s="11">
        <v>23</v>
      </c>
      <c r="B24" s="12" t="s">
        <v>105</v>
      </c>
      <c r="C24" s="12" t="s">
        <v>103</v>
      </c>
      <c r="D24" s="13">
        <v>735</v>
      </c>
      <c r="E24" s="14"/>
      <c r="F24" s="15">
        <f t="shared" si="0"/>
        <v>0</v>
      </c>
      <c r="G24" s="14"/>
      <c r="H24" s="15">
        <f t="shared" si="1"/>
        <v>0</v>
      </c>
      <c r="I24" s="14"/>
      <c r="J24" s="15">
        <f t="shared" si="2"/>
        <v>0</v>
      </c>
      <c r="K24" s="15">
        <f t="shared" ref="K24:L24" si="25">E24+G24+I24</f>
        <v>0</v>
      </c>
      <c r="L24" s="15">
        <f t="shared" si="25"/>
        <v>0</v>
      </c>
    </row>
    <row r="25" spans="1:12" ht="15.75" customHeight="1">
      <c r="A25" s="11">
        <v>24</v>
      </c>
      <c r="B25" s="12" t="s">
        <v>119</v>
      </c>
      <c r="C25" s="12" t="s">
        <v>120</v>
      </c>
      <c r="D25" s="13"/>
      <c r="E25" s="14"/>
      <c r="F25" s="15">
        <f t="shared" si="0"/>
        <v>0</v>
      </c>
      <c r="G25" s="14"/>
      <c r="H25" s="15">
        <f t="shared" si="1"/>
        <v>0</v>
      </c>
      <c r="I25" s="14"/>
      <c r="J25" s="15">
        <f t="shared" si="2"/>
        <v>0</v>
      </c>
      <c r="K25" s="15">
        <f t="shared" ref="K25:L25" si="26">E25+G25+I25</f>
        <v>0</v>
      </c>
      <c r="L25" s="15">
        <f t="shared" si="26"/>
        <v>0</v>
      </c>
    </row>
    <row r="26" spans="1:12" ht="15.75" customHeight="1">
      <c r="A26" s="11">
        <v>25</v>
      </c>
      <c r="B26" s="12" t="s">
        <v>121</v>
      </c>
      <c r="C26" s="12" t="s">
        <v>120</v>
      </c>
      <c r="D26" s="13">
        <v>7</v>
      </c>
      <c r="E26" s="14"/>
      <c r="F26" s="15">
        <f t="shared" si="0"/>
        <v>0</v>
      </c>
      <c r="G26" s="14"/>
      <c r="H26" s="15">
        <f t="shared" si="1"/>
        <v>0</v>
      </c>
      <c r="I26" s="14"/>
      <c r="J26" s="15">
        <f t="shared" si="2"/>
        <v>0</v>
      </c>
      <c r="K26" s="15">
        <f t="shared" ref="K26:L26" si="27">E26+G26+I26</f>
        <v>0</v>
      </c>
      <c r="L26" s="15">
        <f t="shared" si="27"/>
        <v>0</v>
      </c>
    </row>
    <row r="27" spans="1:12" ht="15.75" customHeight="1">
      <c r="A27" s="17"/>
      <c r="B27" s="18"/>
      <c r="C27" s="18"/>
      <c r="D27" s="18"/>
      <c r="E27" s="19"/>
      <c r="F27" s="18"/>
      <c r="G27" s="19"/>
      <c r="H27" s="18"/>
      <c r="I27" s="19"/>
      <c r="J27" s="18"/>
      <c r="K27" s="18"/>
      <c r="L27" s="18"/>
    </row>
    <row r="28" spans="1:12" ht="15.75" customHeight="1">
      <c r="A28" s="20"/>
      <c r="B28" s="21" t="s">
        <v>106</v>
      </c>
      <c r="C28" s="21"/>
      <c r="D28" s="22"/>
      <c r="E28" s="22"/>
      <c r="F28" s="23">
        <f>SUM(F2:F26)</f>
        <v>1813983.5063721326</v>
      </c>
      <c r="G28" s="22"/>
      <c r="H28" s="23">
        <f>SUM(H2:H26)</f>
        <v>0</v>
      </c>
      <c r="I28" s="22"/>
      <c r="J28" s="23">
        <f>SUM(J2:J26)</f>
        <v>0</v>
      </c>
      <c r="K28" s="22"/>
      <c r="L28" s="23">
        <f>SUM(L2:L26)</f>
        <v>1813983.5063721326</v>
      </c>
    </row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"/>
  <sheetViews>
    <sheetView workbookViewId="0">
      <selection sqref="A1:D1"/>
    </sheetView>
  </sheetViews>
  <sheetFormatPr baseColWidth="10" defaultColWidth="12.6640625" defaultRowHeight="15" customHeight="1"/>
  <cols>
    <col min="1" max="1" width="10.6640625" customWidth="1"/>
    <col min="2" max="3" width="11" customWidth="1"/>
    <col min="4" max="4" width="12" customWidth="1"/>
    <col min="5" max="11" width="10.6640625" customWidth="1"/>
  </cols>
  <sheetData>
    <row r="1" spans="1:4" ht="15.75" customHeight="1">
      <c r="A1" s="31" t="s">
        <v>122</v>
      </c>
      <c r="B1" s="32"/>
      <c r="C1" s="32"/>
      <c r="D1" s="33"/>
    </row>
    <row r="2" spans="1:4" ht="15.75" customHeight="1">
      <c r="A2" s="24"/>
      <c r="B2" s="24" t="s">
        <v>123</v>
      </c>
      <c r="C2" s="24" t="s">
        <v>4</v>
      </c>
      <c r="D2" s="24" t="s">
        <v>62</v>
      </c>
    </row>
    <row r="3" spans="1:4" ht="15.75" customHeight="1">
      <c r="A3" s="24" t="s">
        <v>27</v>
      </c>
      <c r="B3" s="3">
        <v>1328</v>
      </c>
      <c r="C3" s="3">
        <f>Summary!F19</f>
        <v>230</v>
      </c>
      <c r="D3" s="3">
        <f t="shared" ref="D3:D4" si="0">B3*C3</f>
        <v>305440</v>
      </c>
    </row>
    <row r="4" spans="1:4" ht="15.75" customHeight="1">
      <c r="A4" s="24" t="s">
        <v>124</v>
      </c>
      <c r="B4" s="3">
        <v>1705</v>
      </c>
      <c r="C4" s="3">
        <f>Summary!F19</f>
        <v>230</v>
      </c>
      <c r="D4" s="3">
        <f t="shared" si="0"/>
        <v>392150</v>
      </c>
    </row>
    <row r="5" spans="1:4" ht="15.75" customHeight="1">
      <c r="B5" s="4"/>
      <c r="C5" s="4"/>
      <c r="D5" s="3">
        <f>SUM(D3:D4)</f>
        <v>697590</v>
      </c>
    </row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"/>
  <sheetViews>
    <sheetView workbookViewId="0">
      <selection activeCell="C3" sqref="C3"/>
    </sheetView>
  </sheetViews>
  <sheetFormatPr baseColWidth="10" defaultColWidth="12.6640625" defaultRowHeight="15" customHeight="1"/>
  <cols>
    <col min="1" max="1" width="16.83203125" customWidth="1"/>
    <col min="2" max="2" width="10.83203125" customWidth="1"/>
    <col min="3" max="3" width="13.5" customWidth="1"/>
    <col min="4" max="6" width="10.83203125" customWidth="1"/>
    <col min="7" max="7" width="14.1640625" customWidth="1"/>
    <col min="8" max="9" width="10.83203125" customWidth="1"/>
    <col min="10" max="11" width="10.6640625" customWidth="1"/>
  </cols>
  <sheetData>
    <row r="1" spans="1:1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customHeight="1">
      <c r="A2" s="4" t="s">
        <v>125</v>
      </c>
      <c r="B2" s="4"/>
      <c r="C2" s="4">
        <v>2060000</v>
      </c>
      <c r="D2" s="4"/>
      <c r="E2" s="4"/>
      <c r="F2" s="4"/>
      <c r="G2" s="4"/>
      <c r="H2" s="4"/>
      <c r="I2" s="4"/>
      <c r="J2" s="4"/>
      <c r="K2" s="4"/>
    </row>
    <row r="3" spans="1:11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>
      <c r="A4" s="34" t="s">
        <v>126</v>
      </c>
      <c r="B4" s="32"/>
      <c r="C4" s="32"/>
      <c r="D4" s="32"/>
      <c r="E4" s="32"/>
      <c r="F4" s="32"/>
      <c r="G4" s="32"/>
      <c r="H4" s="32"/>
      <c r="I4" s="33"/>
      <c r="J4" s="4"/>
      <c r="K4" s="4"/>
    </row>
    <row r="5" spans="1:11" ht="15.75" customHeight="1">
      <c r="A5" s="3"/>
      <c r="B5" s="3" t="s">
        <v>127</v>
      </c>
      <c r="C5" s="3" t="s">
        <v>58</v>
      </c>
      <c r="D5" s="3" t="s">
        <v>59</v>
      </c>
      <c r="E5" s="3" t="s">
        <v>60</v>
      </c>
      <c r="F5" s="3"/>
      <c r="G5" s="3" t="s">
        <v>61</v>
      </c>
      <c r="H5" s="3" t="s">
        <v>4</v>
      </c>
      <c r="I5" s="3" t="s">
        <v>128</v>
      </c>
      <c r="J5" s="4"/>
      <c r="K5" s="4"/>
    </row>
    <row r="6" spans="1:11" ht="15.75" customHeight="1">
      <c r="A6" s="3" t="s">
        <v>129</v>
      </c>
      <c r="B6" s="3">
        <v>1</v>
      </c>
      <c r="C6" s="3">
        <v>1.92</v>
      </c>
      <c r="D6" s="3">
        <v>1.2</v>
      </c>
      <c r="E6" s="3">
        <v>0.1</v>
      </c>
      <c r="F6" s="3" t="s">
        <v>6</v>
      </c>
      <c r="G6" s="3">
        <f>B6*C6*D6*E6</f>
        <v>0.23039999999999999</v>
      </c>
      <c r="H6" s="3">
        <f>Summary!F9</f>
        <v>5000</v>
      </c>
      <c r="I6" s="3">
        <f t="shared" ref="I6:I7" si="0">G6*H6</f>
        <v>1152</v>
      </c>
      <c r="J6" s="4"/>
      <c r="K6" s="4"/>
    </row>
    <row r="7" spans="1:11" ht="15.75" customHeight="1">
      <c r="A7" s="3" t="s">
        <v>11</v>
      </c>
      <c r="B7" s="3">
        <v>1</v>
      </c>
      <c r="C7" s="3"/>
      <c r="D7" s="3"/>
      <c r="E7" s="3"/>
      <c r="F7" s="3" t="s">
        <v>12</v>
      </c>
      <c r="G7" s="3">
        <f>C6*D6*10.76*2</f>
        <v>49.582079999999998</v>
      </c>
      <c r="H7" s="3">
        <f>Summary!F10</f>
        <v>90</v>
      </c>
      <c r="I7" s="3">
        <f t="shared" si="0"/>
        <v>4462.3872000000001</v>
      </c>
      <c r="J7" s="4"/>
      <c r="K7" s="4"/>
    </row>
    <row r="8" spans="1:11" ht="15.75" customHeight="1">
      <c r="A8" s="3" t="s">
        <v>63</v>
      </c>
      <c r="B8" s="3">
        <v>2</v>
      </c>
      <c r="C8" s="3">
        <v>1.92</v>
      </c>
      <c r="D8" s="3">
        <v>1.5</v>
      </c>
      <c r="E8" s="3">
        <v>0.23</v>
      </c>
      <c r="F8" s="3" t="s">
        <v>6</v>
      </c>
      <c r="G8" s="3">
        <f t="shared" ref="G8:G9" si="1">C8*D8*E8*B8</f>
        <v>1.3248</v>
      </c>
      <c r="H8" s="3"/>
      <c r="I8" s="3"/>
      <c r="J8" s="4"/>
      <c r="K8" s="4"/>
    </row>
    <row r="9" spans="1:11" ht="15.75" customHeight="1">
      <c r="A9" s="3"/>
      <c r="B9" s="3">
        <v>2</v>
      </c>
      <c r="C9" s="3">
        <v>0.97</v>
      </c>
      <c r="D9" s="3">
        <v>1.5</v>
      </c>
      <c r="E9" s="3">
        <v>0.23</v>
      </c>
      <c r="F9" s="3" t="s">
        <v>6</v>
      </c>
      <c r="G9" s="3">
        <f t="shared" si="1"/>
        <v>0.66930000000000012</v>
      </c>
      <c r="H9" s="3"/>
      <c r="I9" s="3"/>
      <c r="J9" s="4"/>
      <c r="K9" s="4"/>
    </row>
    <row r="10" spans="1:11" ht="15.75" customHeight="1">
      <c r="A10" s="3"/>
      <c r="B10" s="3"/>
      <c r="C10" s="3"/>
      <c r="D10" s="3"/>
      <c r="E10" s="3"/>
      <c r="F10" s="3" t="s">
        <v>6</v>
      </c>
      <c r="G10" s="3">
        <f>SUM(G8:G9)</f>
        <v>1.9941</v>
      </c>
      <c r="H10" s="3">
        <f>Summary!F6</f>
        <v>6000</v>
      </c>
      <c r="I10" s="3">
        <f t="shared" ref="I10:I11" si="2">G10*H10</f>
        <v>11964.6</v>
      </c>
      <c r="J10" s="4"/>
      <c r="K10" s="4"/>
    </row>
    <row r="11" spans="1:11" ht="15.75" customHeight="1">
      <c r="A11" s="3" t="s">
        <v>130</v>
      </c>
      <c r="B11" s="3">
        <v>1</v>
      </c>
      <c r="C11" s="3">
        <v>6.24</v>
      </c>
      <c r="D11" s="3"/>
      <c r="E11" s="3">
        <v>0.9</v>
      </c>
      <c r="F11" s="3" t="s">
        <v>131</v>
      </c>
      <c r="G11" s="3">
        <f>C11*E11*10.76</f>
        <v>60.428160000000005</v>
      </c>
      <c r="H11" s="3">
        <f>Summary!F7</f>
        <v>30</v>
      </c>
      <c r="I11" s="3">
        <f t="shared" si="2"/>
        <v>1812.8448000000001</v>
      </c>
      <c r="J11" s="4"/>
      <c r="K11" s="4"/>
    </row>
    <row r="12" spans="1:11" ht="15.75" customHeight="1">
      <c r="A12" s="4"/>
      <c r="B12" s="4"/>
      <c r="C12" s="4"/>
      <c r="D12" s="4"/>
      <c r="E12" s="4"/>
      <c r="F12" s="4"/>
      <c r="G12" s="4"/>
      <c r="H12" s="4"/>
      <c r="I12" s="3">
        <f>SUM(I6:I11)</f>
        <v>19391.831999999999</v>
      </c>
      <c r="J12" s="4"/>
      <c r="K12" s="4"/>
    </row>
    <row r="13" spans="1:11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>
      <c r="A14" s="4" t="s">
        <v>132</v>
      </c>
      <c r="B14" s="4"/>
      <c r="C14" s="4"/>
      <c r="D14" s="4"/>
      <c r="E14" s="4"/>
      <c r="F14" s="4"/>
      <c r="G14" s="4"/>
      <c r="H14" s="4"/>
      <c r="I14" s="4">
        <v>2700</v>
      </c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1">
    <mergeCell ref="A4:I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"/>
  <sheetViews>
    <sheetView workbookViewId="0">
      <selection activeCell="B19" sqref="B19"/>
    </sheetView>
  </sheetViews>
  <sheetFormatPr baseColWidth="10" defaultColWidth="12.6640625" defaultRowHeight="15" customHeight="1"/>
  <cols>
    <col min="1" max="1" width="10.83203125" customWidth="1"/>
    <col min="2" max="3" width="13" customWidth="1"/>
    <col min="4" max="4" width="32.33203125" customWidth="1"/>
    <col min="5" max="5" width="29.33203125" customWidth="1"/>
    <col min="6" max="6" width="10.83203125" customWidth="1"/>
    <col min="7" max="11" width="10.6640625" customWidth="1"/>
  </cols>
  <sheetData>
    <row r="1" spans="1:11" ht="15.75" customHeight="1">
      <c r="A1" s="3"/>
      <c r="B1" s="3" t="s">
        <v>19</v>
      </c>
      <c r="C1" s="3" t="s">
        <v>18</v>
      </c>
      <c r="D1" s="3" t="s">
        <v>133</v>
      </c>
      <c r="E1" s="3" t="s">
        <v>134</v>
      </c>
      <c r="F1" s="4"/>
      <c r="G1" s="4"/>
      <c r="H1" s="4"/>
      <c r="I1" s="4"/>
      <c r="J1" s="4"/>
      <c r="K1" s="4"/>
    </row>
    <row r="2" spans="1:11" ht="15.75" customHeight="1">
      <c r="A2" s="3" t="s">
        <v>37</v>
      </c>
      <c r="B2" s="3"/>
      <c r="C2" s="3">
        <v>1200</v>
      </c>
      <c r="D2" s="3">
        <v>1200</v>
      </c>
      <c r="E2" s="3">
        <v>1200</v>
      </c>
      <c r="F2" s="4"/>
      <c r="G2" s="4"/>
      <c r="H2" s="4"/>
      <c r="I2" s="4"/>
      <c r="J2" s="4"/>
      <c r="K2" s="4"/>
    </row>
    <row r="3" spans="1:11" ht="15.75" customHeight="1">
      <c r="A3" s="3" t="s">
        <v>39</v>
      </c>
      <c r="B3" s="3"/>
      <c r="C3" s="3">
        <v>1200</v>
      </c>
      <c r="D3" s="3">
        <v>1200</v>
      </c>
      <c r="E3" s="3">
        <v>1200</v>
      </c>
      <c r="F3" s="4"/>
      <c r="G3" s="4"/>
      <c r="H3" s="4"/>
      <c r="I3" s="4"/>
      <c r="J3" s="4"/>
      <c r="K3" s="4"/>
    </row>
    <row r="4" spans="1:11" ht="15.75" customHeight="1">
      <c r="A4" s="3" t="s">
        <v>40</v>
      </c>
      <c r="B4" s="3"/>
      <c r="C4" s="3">
        <v>1200</v>
      </c>
      <c r="D4" s="3">
        <v>1200</v>
      </c>
      <c r="E4" s="3"/>
      <c r="F4" s="4"/>
      <c r="G4" s="4"/>
      <c r="H4" s="4"/>
      <c r="I4" s="4"/>
      <c r="J4" s="4"/>
      <c r="K4" s="4"/>
    </row>
    <row r="5" spans="1:11" ht="15.75" customHeight="1">
      <c r="A5" s="3" t="s">
        <v>41</v>
      </c>
      <c r="B5" s="3"/>
      <c r="C5" s="3">
        <v>1200</v>
      </c>
      <c r="D5" s="3">
        <v>1200</v>
      </c>
      <c r="E5" s="3"/>
      <c r="F5" s="4"/>
      <c r="G5" s="4"/>
      <c r="H5" s="4"/>
      <c r="I5" s="4"/>
      <c r="J5" s="4"/>
      <c r="K5" s="4"/>
    </row>
    <row r="6" spans="1:11" ht="15.75" customHeight="1">
      <c r="A6" s="3" t="s">
        <v>42</v>
      </c>
      <c r="B6" s="3"/>
      <c r="C6" s="3">
        <v>1200</v>
      </c>
      <c r="D6" s="3">
        <v>1200</v>
      </c>
      <c r="E6" s="3"/>
      <c r="F6" s="4"/>
      <c r="G6" s="4"/>
      <c r="H6" s="4"/>
      <c r="I6" s="4"/>
      <c r="J6" s="4"/>
      <c r="K6" s="4"/>
    </row>
    <row r="7" spans="1:11" ht="15.75" customHeight="1">
      <c r="A7" s="3" t="s">
        <v>43</v>
      </c>
      <c r="B7" s="3"/>
      <c r="C7" s="3">
        <v>1200</v>
      </c>
      <c r="D7" s="3">
        <v>1200</v>
      </c>
      <c r="E7" s="3"/>
      <c r="F7" s="4"/>
      <c r="G7" s="4"/>
      <c r="H7" s="4"/>
      <c r="I7" s="4"/>
      <c r="J7" s="4"/>
      <c r="K7" s="4"/>
    </row>
    <row r="8" spans="1:11" ht="15.75" customHeight="1">
      <c r="A8" s="3" t="s">
        <v>44</v>
      </c>
      <c r="B8" s="3"/>
      <c r="C8" s="3">
        <v>1200</v>
      </c>
      <c r="D8" s="3">
        <v>1200</v>
      </c>
      <c r="E8" s="3">
        <v>1200</v>
      </c>
      <c r="F8" s="4"/>
      <c r="G8" s="4"/>
      <c r="H8" s="4"/>
      <c r="I8" s="4"/>
      <c r="J8" s="4"/>
      <c r="K8" s="4"/>
    </row>
    <row r="9" spans="1:11" ht="15.75" customHeight="1">
      <c r="A9" s="3" t="s">
        <v>45</v>
      </c>
      <c r="B9" s="3"/>
      <c r="C9" s="3">
        <v>1200</v>
      </c>
      <c r="D9" s="3">
        <v>1200</v>
      </c>
      <c r="E9" s="3"/>
      <c r="F9" s="4"/>
      <c r="G9" s="4"/>
      <c r="H9" s="4"/>
      <c r="I9" s="4"/>
      <c r="J9" s="4"/>
      <c r="K9" s="4"/>
    </row>
    <row r="10" spans="1:11" ht="15.75" customHeight="1">
      <c r="A10" s="3" t="s">
        <v>46</v>
      </c>
      <c r="B10" s="3"/>
      <c r="C10" s="3">
        <v>1200</v>
      </c>
      <c r="D10" s="3">
        <v>1200</v>
      </c>
      <c r="E10" s="3"/>
      <c r="F10" s="4"/>
      <c r="G10" s="4"/>
      <c r="H10" s="4"/>
      <c r="I10" s="4"/>
      <c r="J10" s="4"/>
      <c r="K10" s="4"/>
    </row>
    <row r="11" spans="1:11" ht="15.75" customHeight="1">
      <c r="A11" s="3" t="s">
        <v>47</v>
      </c>
      <c r="B11" s="3"/>
      <c r="C11" s="3">
        <v>1200</v>
      </c>
      <c r="D11" s="3">
        <v>1200</v>
      </c>
      <c r="E11" s="3"/>
      <c r="F11" s="4"/>
      <c r="G11" s="4"/>
      <c r="H11" s="4"/>
      <c r="I11" s="4"/>
      <c r="J11" s="4"/>
      <c r="K11" s="4"/>
    </row>
    <row r="12" spans="1:11" ht="15.75" customHeight="1">
      <c r="A12" s="3" t="s">
        <v>48</v>
      </c>
      <c r="B12" s="3"/>
      <c r="C12" s="3">
        <v>1200</v>
      </c>
      <c r="D12" s="3">
        <v>1200</v>
      </c>
      <c r="E12" s="3"/>
      <c r="F12" s="4"/>
      <c r="G12" s="4"/>
      <c r="H12" s="4"/>
      <c r="I12" s="4"/>
      <c r="J12" s="4"/>
      <c r="K12" s="4"/>
    </row>
    <row r="13" spans="1:11" ht="15.75" customHeight="1">
      <c r="A13" s="3" t="s">
        <v>49</v>
      </c>
      <c r="B13" s="3"/>
      <c r="C13" s="3">
        <v>1200</v>
      </c>
      <c r="D13" s="3">
        <v>1200</v>
      </c>
      <c r="E13" s="3"/>
      <c r="F13" s="4"/>
      <c r="G13" s="4"/>
      <c r="H13" s="4"/>
      <c r="I13" s="4"/>
      <c r="J13" s="4"/>
      <c r="K13" s="4"/>
    </row>
    <row r="14" spans="1:11" ht="15.75" customHeight="1">
      <c r="A14" s="3" t="s">
        <v>50</v>
      </c>
      <c r="B14" s="3"/>
      <c r="C14" s="3">
        <v>1200</v>
      </c>
      <c r="D14" s="3">
        <v>1200</v>
      </c>
      <c r="E14" s="3"/>
      <c r="F14" s="4"/>
      <c r="G14" s="4"/>
      <c r="H14" s="4"/>
      <c r="I14" s="4"/>
      <c r="J14" s="4"/>
      <c r="K14" s="4"/>
    </row>
    <row r="15" spans="1:11" ht="15.75" customHeight="1">
      <c r="A15" s="3" t="s">
        <v>51</v>
      </c>
      <c r="B15" s="3"/>
      <c r="C15" s="3">
        <v>1200</v>
      </c>
      <c r="D15" s="3">
        <v>1200</v>
      </c>
      <c r="E15" s="3"/>
      <c r="F15" s="4"/>
      <c r="G15" s="4"/>
      <c r="H15" s="4"/>
      <c r="I15" s="4"/>
      <c r="J15" s="4"/>
      <c r="K15" s="4"/>
    </row>
    <row r="16" spans="1:11" ht="15.75" customHeight="1">
      <c r="A16" s="3" t="s">
        <v>52</v>
      </c>
      <c r="B16" s="3"/>
      <c r="C16" s="3">
        <f>1600+150</f>
        <v>1750</v>
      </c>
      <c r="D16" s="3">
        <v>1600</v>
      </c>
      <c r="E16" s="3"/>
      <c r="F16" s="4"/>
      <c r="G16" s="4"/>
      <c r="H16" s="4"/>
      <c r="I16" s="4"/>
      <c r="J16" s="4"/>
      <c r="K16" s="4"/>
    </row>
    <row r="17" spans="1:11" ht="15.75" customHeight="1">
      <c r="A17" s="3" t="s">
        <v>53</v>
      </c>
      <c r="B17" s="3"/>
      <c r="C17" s="3">
        <v>3550</v>
      </c>
      <c r="D17" s="3">
        <v>3550</v>
      </c>
      <c r="E17" s="3"/>
      <c r="F17" s="4"/>
      <c r="G17" s="4"/>
      <c r="H17" s="4"/>
      <c r="I17" s="4"/>
      <c r="J17" s="4"/>
      <c r="K17" s="4"/>
    </row>
    <row r="18" spans="1:11" ht="15.75" customHeight="1">
      <c r="A18" s="3" t="s">
        <v>62</v>
      </c>
      <c r="B18" s="3">
        <f>C18</f>
        <v>22100</v>
      </c>
      <c r="C18" s="3">
        <f t="shared" ref="C18:E18" si="0">SUM(C2:C17)</f>
        <v>22100</v>
      </c>
      <c r="D18" s="3">
        <f t="shared" si="0"/>
        <v>21950</v>
      </c>
      <c r="E18" s="3">
        <f t="shared" si="0"/>
        <v>3600</v>
      </c>
      <c r="F18" s="4"/>
      <c r="G18" s="4"/>
      <c r="H18" s="4"/>
      <c r="I18" s="4"/>
      <c r="J18" s="4"/>
      <c r="K18" s="4"/>
    </row>
    <row r="19" spans="1:11" ht="15.75" customHeight="1">
      <c r="A19" s="3" t="s">
        <v>4</v>
      </c>
      <c r="B19" s="3">
        <f>Summary!F16</f>
        <v>22</v>
      </c>
      <c r="C19" s="3">
        <f>Summary!F15</f>
        <v>23</v>
      </c>
      <c r="D19" s="3">
        <f>Summary!F17</f>
        <v>34</v>
      </c>
      <c r="E19" s="3">
        <f>Summary!F18-Summary!F17</f>
        <v>26</v>
      </c>
      <c r="F19" s="4"/>
      <c r="G19" s="4"/>
      <c r="H19" s="4"/>
      <c r="I19" s="4"/>
      <c r="J19" s="4"/>
      <c r="K19" s="4"/>
    </row>
    <row r="20" spans="1:11" ht="15.75" customHeight="1">
      <c r="A20" s="3" t="s">
        <v>128</v>
      </c>
      <c r="B20" s="3">
        <f t="shared" ref="B20:C20" si="1">B18*B19</f>
        <v>486200</v>
      </c>
      <c r="C20" s="3">
        <f t="shared" si="1"/>
        <v>508300</v>
      </c>
      <c r="D20" s="3">
        <f t="shared" ref="D20:E20" si="2">SUM(D18*D19)</f>
        <v>746300</v>
      </c>
      <c r="E20" s="3">
        <f t="shared" si="2"/>
        <v>93600</v>
      </c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"/>
  <sheetViews>
    <sheetView workbookViewId="0">
      <selection activeCell="H15" sqref="H15"/>
    </sheetView>
  </sheetViews>
  <sheetFormatPr baseColWidth="10" defaultColWidth="12.6640625" defaultRowHeight="15" customHeight="1"/>
  <cols>
    <col min="1" max="1" width="16.33203125" customWidth="1"/>
    <col min="2" max="6" width="10.83203125" customWidth="1"/>
    <col min="7" max="7" width="14.1640625" customWidth="1"/>
    <col min="8" max="8" width="10.83203125" customWidth="1"/>
    <col min="9" max="9" width="12.5" customWidth="1"/>
    <col min="10" max="10" width="14.33203125" customWidth="1"/>
    <col min="11" max="11" width="10.6640625" customWidth="1"/>
  </cols>
  <sheetData>
    <row r="1" spans="1:11" ht="15.75" customHeight="1">
      <c r="A1" s="34" t="s">
        <v>135</v>
      </c>
      <c r="B1" s="32"/>
      <c r="C1" s="32"/>
      <c r="D1" s="32"/>
      <c r="E1" s="32"/>
      <c r="F1" s="32"/>
      <c r="G1" s="32"/>
      <c r="H1" s="32"/>
      <c r="I1" s="33"/>
      <c r="J1" s="4"/>
      <c r="K1" s="4"/>
    </row>
    <row r="2" spans="1:11" ht="15.75" customHeight="1">
      <c r="A2" s="3"/>
      <c r="B2" s="3" t="s">
        <v>127</v>
      </c>
      <c r="C2" s="3" t="s">
        <v>58</v>
      </c>
      <c r="D2" s="3" t="s">
        <v>59</v>
      </c>
      <c r="E2" s="3" t="s">
        <v>60</v>
      </c>
      <c r="F2" s="3"/>
      <c r="G2" s="3" t="s">
        <v>61</v>
      </c>
      <c r="H2" s="3" t="s">
        <v>4</v>
      </c>
      <c r="I2" s="3" t="s">
        <v>128</v>
      </c>
      <c r="J2" s="4"/>
      <c r="K2" s="4"/>
    </row>
    <row r="3" spans="1:11" ht="15.75" customHeight="1">
      <c r="A3" s="3" t="s">
        <v>136</v>
      </c>
      <c r="B3" s="3">
        <v>1</v>
      </c>
      <c r="C3" s="3">
        <v>3.04</v>
      </c>
      <c r="D3" s="3">
        <v>10.67</v>
      </c>
      <c r="E3" s="3">
        <v>0.25</v>
      </c>
      <c r="F3" s="3" t="s">
        <v>6</v>
      </c>
      <c r="G3" s="3">
        <f>C3*D3*E3*B3</f>
        <v>8.1091999999999995</v>
      </c>
      <c r="H3" s="3">
        <f>Summary!F21</f>
        <v>150</v>
      </c>
      <c r="I3" s="3">
        <f t="shared" ref="I3:I6" si="0">G3*H3</f>
        <v>1216.3799999999999</v>
      </c>
      <c r="J3" s="4"/>
      <c r="K3" s="4"/>
    </row>
    <row r="4" spans="1:11" ht="15.75" customHeight="1">
      <c r="A4" s="3" t="s">
        <v>26</v>
      </c>
      <c r="B4" s="3">
        <v>1</v>
      </c>
      <c r="C4" s="3">
        <v>8.23</v>
      </c>
      <c r="D4" s="3">
        <v>11.28</v>
      </c>
      <c r="E4" s="3">
        <v>0.1</v>
      </c>
      <c r="F4" s="3" t="s">
        <v>6</v>
      </c>
      <c r="G4" s="3">
        <f t="shared" ref="G4:G5" si="1">B4*C4*D4*E4</f>
        <v>9.2834400000000006</v>
      </c>
      <c r="H4" s="3">
        <f>Summary!F22</f>
        <v>3500</v>
      </c>
      <c r="I4" s="3">
        <f t="shared" si="0"/>
        <v>32492.04</v>
      </c>
      <c r="J4" s="4"/>
      <c r="K4" s="4"/>
    </row>
    <row r="5" spans="1:11" ht="15.75" customHeight="1">
      <c r="A5" s="3" t="s">
        <v>28</v>
      </c>
      <c r="B5" s="3">
        <v>1</v>
      </c>
      <c r="C5" s="3">
        <v>8.23</v>
      </c>
      <c r="D5" s="3">
        <v>11.28</v>
      </c>
      <c r="E5" s="3">
        <v>0.125</v>
      </c>
      <c r="F5" s="3" t="s">
        <v>6</v>
      </c>
      <c r="G5" s="3">
        <f t="shared" si="1"/>
        <v>11.6043</v>
      </c>
      <c r="H5" s="3">
        <f>Summary!F23</f>
        <v>4000</v>
      </c>
      <c r="I5" s="3">
        <f t="shared" si="0"/>
        <v>46417.200000000004</v>
      </c>
      <c r="J5" s="4"/>
      <c r="K5" s="4"/>
    </row>
    <row r="6" spans="1:11" ht="15.75" customHeight="1">
      <c r="A6" s="3" t="s">
        <v>11</v>
      </c>
      <c r="B6" s="3"/>
      <c r="C6" s="3"/>
      <c r="D6" s="3"/>
      <c r="E6" s="3"/>
      <c r="F6" s="3" t="s">
        <v>12</v>
      </c>
      <c r="G6" s="3">
        <f>C5*D5*10.76*1</f>
        <v>998.898144</v>
      </c>
      <c r="H6" s="3">
        <f>Summary!F10</f>
        <v>90</v>
      </c>
      <c r="I6" s="3">
        <f t="shared" si="0"/>
        <v>89900.83296</v>
      </c>
      <c r="J6" s="4"/>
      <c r="K6" s="4"/>
    </row>
    <row r="7" spans="1:11" ht="15.75" customHeight="1">
      <c r="A7" s="3" t="s">
        <v>63</v>
      </c>
      <c r="B7" s="3">
        <v>2</v>
      </c>
      <c r="C7" s="3">
        <v>3.04</v>
      </c>
      <c r="D7" s="3">
        <v>0.23</v>
      </c>
      <c r="E7" s="3">
        <v>0.25</v>
      </c>
      <c r="F7" s="3" t="s">
        <v>6</v>
      </c>
      <c r="G7" s="3">
        <f t="shared" ref="G7:G8" si="2">C7*D7*E7*B7</f>
        <v>0.34960000000000002</v>
      </c>
      <c r="H7" s="3"/>
      <c r="I7" s="3"/>
      <c r="J7" s="4"/>
      <c r="K7" s="4"/>
    </row>
    <row r="8" spans="1:11" ht="15.75" customHeight="1">
      <c r="A8" s="3"/>
      <c r="B8" s="3">
        <v>1</v>
      </c>
      <c r="C8" s="3">
        <v>10.67</v>
      </c>
      <c r="D8" s="3">
        <v>0.23</v>
      </c>
      <c r="E8" s="3">
        <v>0.25</v>
      </c>
      <c r="F8" s="3" t="s">
        <v>6</v>
      </c>
      <c r="G8" s="3">
        <f t="shared" si="2"/>
        <v>0.61352499999999999</v>
      </c>
      <c r="H8" s="3"/>
      <c r="I8" s="3"/>
      <c r="J8" s="4"/>
      <c r="K8" s="4"/>
    </row>
    <row r="9" spans="1:11" ht="15.75" customHeight="1">
      <c r="A9" s="3"/>
      <c r="B9" s="3"/>
      <c r="C9" s="3"/>
      <c r="D9" s="3"/>
      <c r="E9" s="3"/>
      <c r="F9" s="3" t="s">
        <v>6</v>
      </c>
      <c r="G9" s="3">
        <f>SUM(G7:G8)</f>
        <v>0.96312500000000001</v>
      </c>
      <c r="H9" s="3">
        <f>Summary!F6</f>
        <v>6000</v>
      </c>
      <c r="I9" s="3">
        <f>G9*H9</f>
        <v>5778.75</v>
      </c>
      <c r="J9" s="4"/>
      <c r="K9" s="4"/>
    </row>
    <row r="10" spans="1:11" ht="15.75" customHeight="1">
      <c r="A10" s="4"/>
      <c r="B10" s="4"/>
      <c r="C10" s="4"/>
      <c r="D10" s="4"/>
      <c r="E10" s="4"/>
      <c r="F10" s="4"/>
      <c r="G10" s="4"/>
      <c r="H10" s="4"/>
      <c r="I10" s="3">
        <f>SUM(I3:I9)</f>
        <v>175805.20296</v>
      </c>
      <c r="J10" s="4"/>
      <c r="K10" s="4"/>
    </row>
    <row r="11" spans="1: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>
      <c r="A13" s="34" t="s">
        <v>137</v>
      </c>
      <c r="B13" s="32"/>
      <c r="C13" s="32"/>
      <c r="D13" s="32"/>
      <c r="E13" s="32"/>
      <c r="F13" s="32"/>
      <c r="G13" s="32"/>
      <c r="H13" s="32"/>
      <c r="I13" s="33"/>
      <c r="J13" s="4"/>
      <c r="K13" s="4"/>
    </row>
    <row r="14" spans="1:11" ht="15.75" customHeight="1">
      <c r="A14" s="3"/>
      <c r="B14" s="3" t="s">
        <v>127</v>
      </c>
      <c r="C14" s="3" t="s">
        <v>58</v>
      </c>
      <c r="D14" s="3" t="s">
        <v>59</v>
      </c>
      <c r="E14" s="3" t="s">
        <v>60</v>
      </c>
      <c r="F14" s="3"/>
      <c r="G14" s="3" t="s">
        <v>61</v>
      </c>
      <c r="H14" s="3" t="s">
        <v>4</v>
      </c>
      <c r="I14" s="3" t="s">
        <v>128</v>
      </c>
      <c r="J14" s="4"/>
      <c r="K14" s="4"/>
    </row>
    <row r="15" spans="1:11" ht="15.75" customHeight="1">
      <c r="A15" s="3" t="s">
        <v>19</v>
      </c>
      <c r="B15" s="3">
        <v>1</v>
      </c>
      <c r="C15" s="3"/>
      <c r="D15" s="3"/>
      <c r="E15" s="3"/>
      <c r="F15" s="3"/>
      <c r="G15" s="3">
        <v>1400</v>
      </c>
      <c r="H15" s="3">
        <f>Roofing!B19</f>
        <v>22</v>
      </c>
      <c r="I15" s="3">
        <f t="shared" ref="I15:I17" si="3">G15*H15</f>
        <v>30800</v>
      </c>
      <c r="J15" s="4"/>
      <c r="K15" s="4"/>
    </row>
    <row r="16" spans="1:11" ht="15.75" customHeight="1">
      <c r="A16" s="3" t="s">
        <v>18</v>
      </c>
      <c r="B16" s="3">
        <v>1</v>
      </c>
      <c r="C16" s="3"/>
      <c r="D16" s="3"/>
      <c r="E16" s="3"/>
      <c r="F16" s="3"/>
      <c r="G16" s="3">
        <v>1400</v>
      </c>
      <c r="H16" s="3">
        <f>Summary!F15</f>
        <v>23</v>
      </c>
      <c r="I16" s="3">
        <f t="shared" si="3"/>
        <v>32200</v>
      </c>
      <c r="J16" s="4"/>
      <c r="K16" s="4"/>
    </row>
    <row r="17" spans="1:11" ht="15.75" customHeight="1">
      <c r="A17" s="3" t="s">
        <v>138</v>
      </c>
      <c r="B17" s="3">
        <v>1</v>
      </c>
      <c r="C17" s="3"/>
      <c r="D17" s="3"/>
      <c r="E17" s="3"/>
      <c r="F17" s="3"/>
      <c r="G17" s="3">
        <v>1024</v>
      </c>
      <c r="H17" s="3">
        <f>Summary!F14</f>
        <v>130</v>
      </c>
      <c r="I17" s="3">
        <f t="shared" si="3"/>
        <v>133120</v>
      </c>
      <c r="J17" s="4"/>
      <c r="K17" s="4"/>
    </row>
    <row r="18" spans="1:11" ht="15.75" customHeight="1">
      <c r="A18" s="3" t="s">
        <v>139</v>
      </c>
      <c r="B18" s="3"/>
      <c r="C18" s="3"/>
      <c r="D18" s="3"/>
      <c r="E18" s="3"/>
      <c r="F18" s="3"/>
      <c r="G18" s="3"/>
      <c r="H18" s="3"/>
      <c r="I18" s="3">
        <f>9*800</f>
        <v>7200</v>
      </c>
      <c r="J18" s="4" t="s">
        <v>140</v>
      </c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3">
        <f>SUM(I15:I18)</f>
        <v>203320</v>
      </c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">
    <mergeCell ref="A1:I1"/>
    <mergeCell ref="A13:I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Renovation all rooms</vt:lpstr>
      <vt:lpstr>Kitchen</vt:lpstr>
      <vt:lpstr>Old Spa</vt:lpstr>
      <vt:lpstr>New Spa</vt:lpstr>
      <vt:lpstr>China mosiac</vt:lpstr>
      <vt:lpstr>Pool</vt:lpstr>
      <vt:lpstr>Roofing</vt:lpstr>
      <vt:lpstr>Gym</vt:lpstr>
      <vt:lpstr>Misc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2022-08-27T09:21:32Z</dcterms:created>
  <dcterms:modified xsi:type="dcterms:W3CDTF">2022-11-11T07:34:54Z</dcterms:modified>
</cp:coreProperties>
</file>