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5.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0.xml" ContentType="application/vnd.openxmlformats-officedocument.drawing+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1.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2.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xml"/>
  <Override PartName="/xl/charts/chart29.xml" ContentType="application/vnd.openxmlformats-officedocument.drawingml.chart+xml"/>
  <Override PartName="/xl/drawings/drawing36.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harts/chartEx6.xml" ContentType="application/vnd.ms-office.chartex+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1.xml" ContentType="application/vnd.openxmlformats-officedocument.drawing+xml"/>
  <Override PartName="/xl/charts/chartEx7.xml" ContentType="application/vnd.ms-office.chartex+xml"/>
  <Override PartName="/xl/charts/style38.xml" ContentType="application/vnd.ms-office.chartstyle+xml"/>
  <Override PartName="/xl/charts/colors38.xml" ContentType="application/vnd.ms-office.chartcolorstyle+xml"/>
  <Override PartName="/xl/drawings/drawing42.xml" ContentType="application/vnd.openxmlformats-officedocument.drawing+xml"/>
  <Override PartName="/xl/charts/chartEx8.xml" ContentType="application/vnd.ms-office.chartex+xml"/>
  <Override PartName="/xl/charts/style39.xml" ContentType="application/vnd.ms-office.chartstyle+xml"/>
  <Override PartName="/xl/charts/colors39.xml" ContentType="application/vnd.ms-office.chartcolorstyle+xml"/>
  <Override PartName="/xl/drawings/drawing43.xml" ContentType="application/vnd.openxmlformats-officedocument.drawing+xml"/>
  <Override PartName="/xl/charts/chartEx9.xml" ContentType="application/vnd.ms-office.chartex+xml"/>
  <Override PartName="/xl/charts/style40.xml" ContentType="application/vnd.ms-office.chartstyle+xml"/>
  <Override PartName="/xl/charts/colors40.xml" ContentType="application/vnd.ms-office.chartcolorstyle+xml"/>
  <Override PartName="/xl/drawings/drawing44.xml" ContentType="application/vnd.openxmlformats-officedocument.drawing+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5.xml" ContentType="application/vnd.openxmlformats-officedocument.drawing+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6.xml" ContentType="application/vnd.openxmlformats-officedocument.drawing+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7.xml" ContentType="application/vnd.openxmlformats-officedocument.drawing+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8.xml" ContentType="application/vnd.openxmlformats-officedocument.drawing+xml"/>
  <Override PartName="/xl/charts/chart3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9.xml" ContentType="application/vnd.openxmlformats-officedocument.drawing+xml"/>
  <Override PartName="/xl/charts/chart3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0.xml" ContentType="application/vnd.openxmlformats-officedocument.drawing+xml"/>
  <Override PartName="/xl/charts/chart3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1.xml" ContentType="application/vnd.openxmlformats-officedocument.drawing+xml"/>
  <Override PartName="/xl/charts/chart4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2.xml" ContentType="application/vnd.openxmlformats-officedocument.drawing+xml"/>
  <Override PartName="/xl/charts/chart4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3.xml" ContentType="application/vnd.openxmlformats-officedocument.drawing+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4.xml" ContentType="application/vnd.openxmlformats-officedocument.drawing+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5.xml" ContentType="application/vnd.openxmlformats-officedocument.drawing+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6.xml" ContentType="application/vnd.openxmlformats-officedocument.drawing+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7.xml" ContentType="application/vnd.openxmlformats-officedocument.drawing+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8.xml" ContentType="application/vnd.openxmlformats-officedocument.drawing+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9.xml" ContentType="application/vnd.openxmlformats-officedocument.drawing+xml"/>
  <Override PartName="/xl/charts/chart4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0.xml" ContentType="application/vnd.openxmlformats-officedocument.drawing+xml"/>
  <Override PartName="/xl/charts/chart4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61.xml" ContentType="application/vnd.openxmlformats-officedocument.drawing+xml"/>
  <Override PartName="/xl/charts/chartEx10.xml" ContentType="application/vnd.ms-office.chartex+xml"/>
  <Override PartName="/xl/charts/style58.xml" ContentType="application/vnd.ms-office.chartstyle+xml"/>
  <Override PartName="/xl/charts/colors58.xml" ContentType="application/vnd.ms-office.chartcolorstyle+xml"/>
  <Override PartName="/xl/drawings/drawing62.xml" ContentType="application/vnd.openxmlformats-officedocument.drawing+xml"/>
  <Override PartName="/xl/charts/chartEx11.xml" ContentType="application/vnd.ms-office.chartex+xml"/>
  <Override PartName="/xl/charts/style59.xml" ContentType="application/vnd.ms-office.chartstyle+xml"/>
  <Override PartName="/xl/charts/colors59.xml" ContentType="application/vnd.ms-office.chartcolorstyle+xml"/>
  <Override PartName="/xl/drawings/drawing63.xml" ContentType="application/vnd.openxmlformats-officedocument.drawing+xml"/>
  <Override PartName="/xl/drawings/drawing64.xml" ContentType="application/vnd.openxmlformats-officedocument.drawing+xml"/>
  <Override PartName="/xl/charts/chart5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5.xml" ContentType="application/vnd.openxmlformats-officedocument.drawing+xml"/>
  <Override PartName="/xl/charts/chart5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6.xml" ContentType="application/vnd.openxmlformats-officedocument.drawing+xml"/>
  <Override PartName="/xl/charts/chart5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7.xml" ContentType="application/vnd.openxmlformats-officedocument.drawing+xml"/>
  <Override PartName="/xl/charts/chart5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8.xml" ContentType="application/vnd.openxmlformats-officedocument.drawing+xml"/>
  <Override PartName="/xl/charts/chart5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9.xml" ContentType="application/vnd.openxmlformats-officedocument.drawing+xml"/>
  <Override PartName="/xl/charts/chart5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70.xml" ContentType="application/vnd.openxmlformats-officedocument.drawing+xml"/>
  <Override PartName="/xl/charts/chart5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1.xml" ContentType="application/vnd.openxmlformats-officedocument.drawing+xml"/>
  <Override PartName="/xl/charts/chart5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2.xml" ContentType="application/vnd.openxmlformats-officedocument.drawing+xml"/>
  <Override PartName="/xl/charts/chart5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3.xml" ContentType="application/vnd.openxmlformats-officedocument.drawing+xml"/>
  <Override PartName="/xl/charts/chart5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4.xml" ContentType="application/vnd.openxmlformats-officedocument.drawing+xml"/>
  <Override PartName="/xl/charts/chart6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5.xml" ContentType="application/vnd.openxmlformats-officedocument.drawing+xml"/>
  <Override PartName="/xl/charts/chart6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6.xml" ContentType="application/vnd.openxmlformats-officedocument.drawing+xml"/>
  <Override PartName="/xl/charts/chart6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7.xml" ContentType="application/vnd.openxmlformats-officedocument.drawing+xml"/>
  <Override PartName="/xl/charts/chart6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8.xml" ContentType="application/vnd.openxmlformats-officedocument.drawing+xml"/>
  <Override PartName="/xl/charts/chart6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9.xml" ContentType="application/vnd.openxmlformats-officedocument.drawing+xml"/>
  <Override PartName="/xl/charts/chart6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80.xml" ContentType="application/vnd.openxmlformats-officedocument.drawing+xml"/>
  <Override PartName="/xl/charts/chart6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81.xml" ContentType="application/vnd.openxmlformats-officedocument.drawing+xml"/>
  <Override PartName="/xl/charts/chart6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82.xml" ContentType="application/vnd.openxmlformats-officedocument.drawing+xml"/>
  <Override PartName="/xl/charts/chart6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83.xml" ContentType="application/vnd.openxmlformats-officedocument.drawing+xml"/>
  <Override PartName="/xl/charts/chart6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84.xml" ContentType="application/vnd.openxmlformats-officedocument.drawing+xml"/>
  <Override PartName="/xl/charts/chart7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5.xml" ContentType="application/vnd.openxmlformats-officedocument.drawing+xml"/>
  <Override PartName="/xl/charts/chart7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86.xml" ContentType="application/vnd.openxmlformats-officedocument.drawing+xml"/>
  <Override PartName="/xl/charts/chart7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87.xml" ContentType="application/vnd.openxmlformats-officedocument.drawing+xml"/>
  <Override PartName="/xl/charts/chart7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8.xml" ContentType="application/vnd.openxmlformats-officedocument.drawing+xml"/>
  <Override PartName="/xl/charts/chart74.xml" ContentType="application/vnd.openxmlformats-officedocument.drawingml.chart+xml"/>
  <Override PartName="/xl/drawings/drawing89.xml" ContentType="application/vnd.openxmlformats-officedocument.drawing+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90.xml" ContentType="application/vnd.openxmlformats-officedocument.drawing+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91.xml" ContentType="application/vnd.openxmlformats-officedocument.drawing+xml"/>
  <Override PartName="/xl/charts/chart7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92.xml" ContentType="application/vnd.openxmlformats-officedocument.drawing+xml"/>
  <Override PartName="/xl/charts/chart78.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Asus\OneDrive\Desktop\DA\"/>
    </mc:Choice>
  </mc:AlternateContent>
  <xr:revisionPtr revIDLastSave="0" documentId="13_ncr:1_{FBC1E837-4D5E-4341-B195-903AC39ACDFE}" xr6:coauthVersionLast="47" xr6:coauthVersionMax="47" xr10:uidLastSave="{00000000-0000-0000-0000-000000000000}"/>
  <bookViews>
    <workbookView xWindow="-108" yWindow="-108" windowWidth="23256" windowHeight="12456" tabRatio="596" firstSheet="739" activeTab="739" xr2:uid="{10344C32-A01D-4BE6-8420-9DD9B164A4B2}"/>
  </bookViews>
  <sheets>
    <sheet name="CSV_Example" sheetId="4" state="hidden" r:id="rId1"/>
    <sheet name="CSV Convert_1" sheetId="5" state="hidden" r:id="rId2"/>
    <sheet name="CSV Convert_UTF-8" sheetId="6" state="hidden" r:id="rId3"/>
    <sheet name="CSV Convert_UTF-16" sheetId="7" state="hidden" r:id="rId4"/>
    <sheet name="Array_Example" sheetId="8" state="hidden" r:id="rId5"/>
    <sheet name="Array_Use" sheetId="10" state="hidden" r:id="rId6"/>
    <sheet name="Array_Example 1" sheetId="11" state="hidden" r:id="rId7"/>
    <sheet name="Array_Example 2" sheetId="9" state="hidden" r:id="rId8"/>
    <sheet name="Array_Example 3" sheetId="13" state="hidden" r:id="rId9"/>
    <sheet name="Array_Evaluation" sheetId="12" state="hidden" r:id="rId10"/>
    <sheet name="Sheet1" sheetId="16" state="hidden" r:id="rId11"/>
    <sheet name="Show Formula_How" sheetId="15" state="hidden" r:id="rId12"/>
    <sheet name="Show Formula_Shortcut" sheetId="17" state="hidden" r:id="rId13"/>
    <sheet name="Show Formula_Enable" sheetId="20" state="hidden" r:id="rId14"/>
    <sheet name="Show Formula_Print" sheetId="19" state="hidden" r:id="rId15"/>
    <sheet name="Show Formula_Hide" sheetId="21" state="hidden" r:id="rId16"/>
    <sheet name="Header And Footer_Example" sheetId="22" state="hidden" r:id="rId17"/>
    <sheet name="Header And Footer_Add" sheetId="23" state="hidden" r:id="rId18"/>
    <sheet name="Header And Footer_Remove" sheetId="24" state="hidden" r:id="rId19"/>
    <sheet name="Header And Footer_Custom" sheetId="25" state="hidden" r:id="rId20"/>
    <sheet name="Header And Footer_Page Number" sheetId="27" state="hidden" r:id="rId21"/>
    <sheet name="Header And Footer_FAQ" sheetId="28" state="hidden" r:id="rId22"/>
    <sheet name="Waterfall Chart_Example" sheetId="29" state="hidden" r:id="rId23"/>
    <sheet name="Waterfall Chart_Create" sheetId="30" state="hidden" r:id="rId24"/>
    <sheet name="Waterfall Chart_Example 1" sheetId="31" state="hidden" r:id="rId25"/>
    <sheet name="Waterfall Chart_Example 2" sheetId="32" state="hidden" r:id="rId26"/>
    <sheet name="Pivot Chart_Example" sheetId="33" state="hidden" r:id="rId27"/>
    <sheet name="Pivot Chart_Create_Result" sheetId="38" state="hidden" r:id="rId28"/>
    <sheet name="Pivot Chart_Create" sheetId="35" state="hidden" r:id="rId29"/>
    <sheet name="Pivot Chart_Example 1_Result" sheetId="47" state="hidden" r:id="rId30"/>
    <sheet name="Pivot Chart_Example 1" sheetId="42" state="hidden" r:id="rId31"/>
    <sheet name="Pivot Chart_Example 2_Result" sheetId="49" state="hidden" r:id="rId32"/>
    <sheet name="Pivot Chart_Example 2" sheetId="48" state="hidden" r:id="rId33"/>
    <sheet name="Pivot Chart_Edit Result" sheetId="51" state="hidden" r:id="rId34"/>
    <sheet name="Pivot Chart_Edit" sheetId="50" state="hidden" r:id="rId35"/>
    <sheet name="Pivot Chart_FAQ" sheetId="54" state="hidden" r:id="rId36"/>
    <sheet name="Barcode_Example" sheetId="55" state="hidden" r:id="rId37"/>
    <sheet name="Barcode_Generate" sheetId="56" state="hidden" r:id="rId38"/>
    <sheet name="Barcode_Generate_Formual" sheetId="57" state="hidden" r:id="rId39"/>
    <sheet name="Barcode_Example 1" sheetId="58" state="hidden" r:id="rId40"/>
    <sheet name="Barcode_Example 2" sheetId="60" state="hidden" r:id="rId41"/>
    <sheet name="Barcode_Example 3" sheetId="59" state="hidden" r:id="rId42"/>
    <sheet name="Pareto Chart_Example" sheetId="61" state="hidden" r:id="rId43"/>
    <sheet name="Pareto Chart_Create" sheetId="62" state="hidden" r:id="rId44"/>
    <sheet name="Pareto Chart_ Create_1" sheetId="63" state="hidden" r:id="rId45"/>
    <sheet name="Pareto Chart_Dynamic" sheetId="64" state="hidden" r:id="rId46"/>
    <sheet name="Change Case_Example" sheetId="65" state="hidden" r:id="rId47"/>
    <sheet name="Change Case_Lower to Upper" sheetId="67" state="hidden" r:id="rId48"/>
    <sheet name="Change Case_Upper to Lower" sheetId="68" state="hidden" r:id="rId49"/>
    <sheet name="Change Case_Title Case" sheetId="69" state="hidden" r:id="rId50"/>
    <sheet name="Change Case_Flash Fill" sheetId="70" state="hidden" r:id="rId51"/>
    <sheet name="Change Case_Shortcut" sheetId="71" state="hidden" r:id="rId52"/>
    <sheet name="Change Case_FAQ" sheetId="72" state="hidden" r:id="rId53"/>
    <sheet name="TEXT()_Example" sheetId="73" state="hidden" r:id="rId54"/>
    <sheet name="TEXT()_Use" sheetId="75" state="hidden" r:id="rId55"/>
    <sheet name="Text()_Codes" sheetId="76" state="hidden" r:id="rId56"/>
    <sheet name="TEXT()_Example1" sheetId="77" state="hidden" r:id="rId57"/>
    <sheet name="TEXT()_Example2" sheetId="78" state="hidden" r:id="rId58"/>
    <sheet name="TEXT()_Example 3" sheetId="79" state="hidden" r:id="rId59"/>
    <sheet name="TEXT()_Example 4" sheetId="80" state="hidden" r:id="rId60"/>
    <sheet name="TEXT()_Example 5" sheetId="81" state="hidden" r:id="rId61"/>
    <sheet name="TEXT()_Example 6" sheetId="82" state="hidden" r:id="rId62"/>
    <sheet name="Greater_Equal_Example" sheetId="83" state="hidden" r:id="rId63"/>
    <sheet name="Greater_Equal_Use" sheetId="84" state="hidden" r:id="rId64"/>
    <sheet name="Greater_Equal_If" sheetId="85" state="hidden" r:id="rId65"/>
    <sheet name="Greater_Equal_COUNTIF" sheetId="86" state="hidden" r:id="rId66"/>
    <sheet name="Greater_Equal_SUMIF" sheetId="87" state="hidden" r:id="rId67"/>
    <sheet name="Greater_Equal_FAQ" sheetId="88" state="hidden" r:id="rId68"/>
    <sheet name="CHOOSE_Example" sheetId="89" state="hidden" r:id="rId69"/>
    <sheet name="CHOOSE_Use" sheetId="91" state="hidden" r:id="rId70"/>
    <sheet name="CHOOSE_Nested IFs" sheetId="92" state="hidden" r:id="rId71"/>
    <sheet name="CHOOSE_Arrays" sheetId="93" state="hidden" r:id="rId72"/>
    <sheet name="CHOOSE_Random" sheetId="94" state="hidden" r:id="rId73"/>
    <sheet name="CHOOSE_VLOOKUP" sheetId="95" state="hidden" r:id="rId74"/>
    <sheet name="CHOOSE_Month" sheetId="96" state="hidden" r:id="rId75"/>
    <sheet name="CHOOSE_FAQ" sheetId="97" state="hidden" r:id="rId76"/>
    <sheet name="Name Box_Example" sheetId="98" state="hidden" r:id="rId77"/>
    <sheet name="Name Box_Use 1" sheetId="100" state="hidden" r:id="rId78"/>
    <sheet name="Name Box_Use 2" sheetId="101" state="hidden" r:id="rId79"/>
    <sheet name="Name Box_Use 3" sheetId="102" state="hidden" r:id="rId80"/>
    <sheet name="Name Box_Use 4" sheetId="103" state="hidden" r:id="rId81"/>
    <sheet name="Name Box_Use 5" sheetId="104" state="hidden" r:id="rId82"/>
    <sheet name="Name Box_Use 6" sheetId="105" state="hidden" r:id="rId83"/>
    <sheet name="Name Box_Use 7" sheetId="106" state="hidden" r:id="rId84"/>
    <sheet name="Name Box_Edit" sheetId="107" state="hidden" r:id="rId85"/>
    <sheet name="FREQ_Example" sheetId="108" state="hidden" r:id="rId86"/>
    <sheet name="FREQ_Use" sheetId="110" state="hidden" r:id="rId87"/>
    <sheet name="FREQ_Example1" sheetId="111" state="hidden" r:id="rId88"/>
    <sheet name="FREQ_Example2" sheetId="112" state="hidden" r:id="rId89"/>
    <sheet name="FREQ_Example3" sheetId="113" state="hidden" r:id="rId90"/>
    <sheet name="FREQ_FAQ" sheetId="114" state="hidden" r:id="rId91"/>
    <sheet name="RANK_Example" sheetId="115" state="hidden" r:id="rId92"/>
    <sheet name="RANK_Use" sheetId="117" state="hidden" r:id="rId93"/>
    <sheet name="RANK_Example1" sheetId="118" state="hidden" r:id="rId94"/>
    <sheet name="RANK_Example 2" sheetId="119" state="hidden" r:id="rId95"/>
    <sheet name="RANK_Example 3" sheetId="120" state="hidden" r:id="rId96"/>
    <sheet name="RANK_FAQ" sheetId="121" state="hidden" r:id="rId97"/>
    <sheet name="RIGHT_Example" sheetId="122" state="hidden" r:id="rId98"/>
    <sheet name="RIGHT_Use" sheetId="123" state="hidden" r:id="rId99"/>
    <sheet name="RIGHT_Example1" sheetId="124" state="hidden" r:id="rId100"/>
    <sheet name="RIGHT_Example2" sheetId="125" state="hidden" r:id="rId101"/>
    <sheet name="RIGHT_Example3" sheetId="126" state="hidden" r:id="rId102"/>
    <sheet name="RIGHT_Example4" sheetId="127" state="hidden" r:id="rId103"/>
    <sheet name="RIGHT_Example5" sheetId="128" state="hidden" r:id="rId104"/>
    <sheet name="RIGHT_FAQ" sheetId="129" state="hidden" r:id="rId105"/>
    <sheet name="EOMONTH_Example" sheetId="130" state="hidden" r:id="rId106"/>
    <sheet name="EOMONTH_Use" sheetId="131" state="hidden" r:id="rId107"/>
    <sheet name="EOMONTH_Example1" sheetId="132" state="hidden" r:id="rId108"/>
    <sheet name="EOMONTH_Example 2" sheetId="133" state="hidden" r:id="rId109"/>
    <sheet name="EOMONTH_Example 3" sheetId="134" state="hidden" r:id="rId110"/>
    <sheet name="EOMONTH_FAQ" sheetId="135" state="hidden" r:id="rId111"/>
    <sheet name="FORECAST_Example" sheetId="136" state="hidden" r:id="rId112"/>
    <sheet name="FORECAST_Use" sheetId="137" state="hidden" r:id="rId113"/>
    <sheet name="FORECAST_Example 1" sheetId="138" state="hidden" r:id="rId114"/>
    <sheet name="FORECAST_Example 2" sheetId="139" state="hidden" r:id="rId115"/>
    <sheet name="MEDIAN_Example" sheetId="140" state="hidden" r:id="rId116"/>
    <sheet name="MEDIAN_Use" sheetId="142" state="hidden" r:id="rId117"/>
    <sheet name="MEDIAN_Example 1" sheetId="143" state="hidden" r:id="rId118"/>
    <sheet name="MEDIAN_Example 2" sheetId="144" state="hidden" r:id="rId119"/>
    <sheet name="MEDIAN_Example 3" sheetId="145" state="hidden" r:id="rId120"/>
    <sheet name="MEDIAN_FAQ" sheetId="146" state="hidden" r:id="rId121"/>
    <sheet name="NOW_Example" sheetId="147" state="hidden" r:id="rId122"/>
    <sheet name="NOW_Use" sheetId="149" state="hidden" r:id="rId123"/>
    <sheet name="NOW_Example 1" sheetId="150" state="hidden" r:id="rId124"/>
    <sheet name="NOW_Example 2" sheetId="151" state="hidden" r:id="rId125"/>
    <sheet name="NOW_Example 3" sheetId="152" state="hidden" r:id="rId126"/>
    <sheet name="NOW_FAQ" sheetId="153" state="hidden" r:id="rId127"/>
    <sheet name="PMT_Example" sheetId="154" state="hidden" r:id="rId128"/>
    <sheet name="PMT_Use" sheetId="156" state="hidden" r:id="rId129"/>
    <sheet name="PMT_Example 1" sheetId="157" state="hidden" r:id="rId130"/>
    <sheet name="PMT Example 2" sheetId="158" state="hidden" r:id="rId131"/>
    <sheet name="PMT Example 3" sheetId="159" state="hidden" r:id="rId132"/>
    <sheet name="PMT_FAQ" sheetId="161" state="hidden" r:id="rId133"/>
    <sheet name="ROW_Example" sheetId="162" state="hidden" r:id="rId134"/>
    <sheet name="ROW_Use" sheetId="164" state="hidden" r:id="rId135"/>
    <sheet name="ROW_Example 1" sheetId="165" state="hidden" r:id="rId136"/>
    <sheet name="ROW_Example 2" sheetId="167" state="hidden" r:id="rId137"/>
    <sheet name="ROW_Example 3" sheetId="169" state="hidden" r:id="rId138"/>
    <sheet name="ROW_FAQ" sheetId="170" state="hidden" r:id="rId139"/>
    <sheet name="AGG_Example" sheetId="171" state="hidden" r:id="rId140"/>
    <sheet name="Formulas" sheetId="173" state="hidden" r:id="rId141"/>
    <sheet name="AGG_Use" sheetId="174" state="hidden" r:id="rId142"/>
    <sheet name="AGG_Example 1" sheetId="175" state="hidden" r:id="rId143"/>
    <sheet name="AGG_Example 2" sheetId="176" state="hidden" r:id="rId144"/>
    <sheet name="AGG_Example 3" sheetId="177" state="hidden" r:id="rId145"/>
    <sheet name="AGG_FAQ" sheetId="178" state="hidden" r:id="rId146"/>
    <sheet name="CEILING_Example" sheetId="179" state="hidden" r:id="rId147"/>
    <sheet name="CEILING_Use" sheetId="181" state="hidden" r:id="rId148"/>
    <sheet name="CEILING_Example 1" sheetId="182" state="hidden" r:id="rId149"/>
    <sheet name="CEILING_Example 2" sheetId="183" state="hidden" r:id="rId150"/>
    <sheet name="CEILING_Example 3" sheetId="184" state="hidden" r:id="rId151"/>
    <sheet name="CEILING_FAQ" sheetId="185" state="hidden" r:id="rId152"/>
    <sheet name="LARGE_Example" sheetId="186" state="hidden" r:id="rId153"/>
    <sheet name="LARGE_Use" sheetId="188" state="hidden" r:id="rId154"/>
    <sheet name="LARGE_Example 1" sheetId="189" state="hidden" r:id="rId155"/>
    <sheet name="LARGE_Example 2" sheetId="190" state="hidden" r:id="rId156"/>
    <sheet name="LARGE_Example 3" sheetId="191" state="hidden" r:id="rId157"/>
    <sheet name="LARGE_FAQ" sheetId="192" state="hidden" r:id="rId158"/>
    <sheet name="SUBSTITUTE_Example" sheetId="193" state="hidden" r:id="rId159"/>
    <sheet name="SUBSTITUTE_Use" sheetId="195" state="hidden" r:id="rId160"/>
    <sheet name="SUBSTITUTE_Example 1" sheetId="196" state="hidden" r:id="rId161"/>
    <sheet name="SUBSTITUTE_Example 2" sheetId="197" state="hidden" r:id="rId162"/>
    <sheet name="SUBSTITUTE_Example 3" sheetId="199" state="hidden" r:id="rId163"/>
    <sheet name="SUBSTITUTE_FAQ" sheetId="200" state="hidden" r:id="rId164"/>
    <sheet name="WORKDAY_Example" sheetId="201" state="hidden" r:id="rId165"/>
    <sheet name="WORKDAY_Use" sheetId="202" state="hidden" r:id="rId166"/>
    <sheet name="WORKDAY_Example 1" sheetId="203" state="hidden" r:id="rId167"/>
    <sheet name="WORKDAY_Example 2" sheetId="204" state="hidden" r:id="rId168"/>
    <sheet name="WORKDAY_Example 3" sheetId="205" state="hidden" r:id="rId169"/>
    <sheet name="WORKDAY_FAQ" sheetId="206" state="hidden" r:id="rId170"/>
    <sheet name="MROUND_Example" sheetId="207" state="hidden" r:id="rId171"/>
    <sheet name="MROUND_Use" sheetId="209" state="hidden" r:id="rId172"/>
    <sheet name="MROUND_Example 1" sheetId="210" state="hidden" r:id="rId173"/>
    <sheet name="MROUND_Example 2" sheetId="211" state="hidden" r:id="rId174"/>
    <sheet name="MROUND_Example 3" sheetId="212" state="hidden" r:id="rId175"/>
    <sheet name="MROUND_FAQ" sheetId="213" state="hidden" r:id="rId176"/>
    <sheet name="POWER_Example" sheetId="214" state="hidden" r:id="rId177"/>
    <sheet name="POWER_Use" sheetId="216" state="hidden" r:id="rId178"/>
    <sheet name="POWER_Example 1" sheetId="217" state="hidden" r:id="rId179"/>
    <sheet name="POWER_Example 2" sheetId="218" state="hidden" r:id="rId180"/>
    <sheet name="POWER_Example 3" sheetId="219" state="hidden" r:id="rId181"/>
    <sheet name="POWER_FAQ 1" sheetId="220" state="hidden" r:id="rId182"/>
    <sheet name="POWER_FAQ 2" sheetId="221" state="hidden" r:id="rId183"/>
    <sheet name="CHAR_Example" sheetId="222" state="hidden" r:id="rId184"/>
    <sheet name="CHAR_Use" sheetId="224" state="hidden" r:id="rId185"/>
    <sheet name="CHAR_Example 1" sheetId="227" state="hidden" r:id="rId186"/>
    <sheet name="CHAR_Example 2" sheetId="225" state="hidden" r:id="rId187"/>
    <sheet name="CHAR_Example 3" sheetId="226" state="hidden" r:id="rId188"/>
    <sheet name="CHAR_FAQ 1" sheetId="228" state="hidden" r:id="rId189"/>
    <sheet name="CHAR_FAQ 2" sheetId="229" state="hidden" r:id="rId190"/>
    <sheet name="COLUMN_Example" sheetId="230" state="hidden" r:id="rId191"/>
    <sheet name="COLUMN_Use" sheetId="232" state="hidden" r:id="rId192"/>
    <sheet name="COLUMN_Example 1" sheetId="233" state="hidden" r:id="rId193"/>
    <sheet name="COLUMN_Example 2" sheetId="234" state="hidden" r:id="rId194"/>
    <sheet name="COLUMN_Example 3" sheetId="235" state="hidden" r:id="rId195"/>
    <sheet name="COLUMN_FAQ" sheetId="236" state="hidden" r:id="rId196"/>
    <sheet name="CLEAN_Example" sheetId="237" state="hidden" r:id="rId197"/>
    <sheet name="CLEAN_Use" sheetId="239" state="hidden" r:id="rId198"/>
    <sheet name="CLEAN_Example 1" sheetId="240" state="hidden" r:id="rId199"/>
    <sheet name="CLEAN_Example 2" sheetId="241" state="hidden" r:id="rId200"/>
    <sheet name="CLEAN_Example 3" sheetId="242" state="hidden" r:id="rId201"/>
    <sheet name="CLEAN_FAQ" sheetId="243" state="hidden" r:id="rId202"/>
    <sheet name="EDATE_Example" sheetId="244" state="hidden" r:id="rId203"/>
    <sheet name="EDATE_Use" sheetId="246" state="hidden" r:id="rId204"/>
    <sheet name="EDATE_Example 1" sheetId="249" state="hidden" r:id="rId205"/>
    <sheet name="EDATE_Example 2" sheetId="247" state="hidden" r:id="rId206"/>
    <sheet name="EDATE_Example 3" sheetId="248" state="hidden" r:id="rId207"/>
    <sheet name="EDATE_FAQ" sheetId="250" state="hidden" r:id="rId208"/>
    <sheet name="MODE_Example" sheetId="251" state="hidden" r:id="rId209"/>
    <sheet name="MODE_Use" sheetId="253" state="hidden" r:id="rId210"/>
    <sheet name="MODE_Example 1" sheetId="254" state="hidden" r:id="rId211"/>
    <sheet name="MODE_Example 2" sheetId="255" state="hidden" r:id="rId212"/>
    <sheet name="MODE_Example 3" sheetId="256" state="hidden" r:id="rId213"/>
    <sheet name="MODE_FAQ" sheetId="257" state="hidden" r:id="rId214"/>
    <sheet name="SWITCH_Example" sheetId="258" state="hidden" r:id="rId215"/>
    <sheet name="SWITCH_Use" sheetId="260" state="hidden" r:id="rId216"/>
    <sheet name="SWITCH_Example 1" sheetId="261" state="hidden" r:id="rId217"/>
    <sheet name="SWITCH_Example 2" sheetId="262" state="hidden" r:id="rId218"/>
    <sheet name="SWITCH_Example 3" sheetId="263" state="hidden" r:id="rId219"/>
    <sheet name="SWITCH_FAQ" sheetId="264" state="hidden" r:id="rId220"/>
    <sheet name="XOR_Example" sheetId="265" state="hidden" r:id="rId221"/>
    <sheet name="XOR_Use" sheetId="267" state="hidden" r:id="rId222"/>
    <sheet name="XOR_Example 1" sheetId="268" state="hidden" r:id="rId223"/>
    <sheet name="XOR_Example 2" sheetId="269" state="hidden" r:id="rId224"/>
    <sheet name="XOR_Example 3" sheetId="270" state="hidden" r:id="rId225"/>
    <sheet name="XOR_FAQ" sheetId="271" state="hidden" r:id="rId226"/>
    <sheet name="ISERROR_Example" sheetId="272" state="hidden" r:id="rId227"/>
    <sheet name="ISERROR_Use" sheetId="274" state="hidden" r:id="rId228"/>
    <sheet name="ISERROR_Example 1" sheetId="275" state="hidden" r:id="rId229"/>
    <sheet name="ISERROR_Example 2" sheetId="276" state="hidden" r:id="rId230"/>
    <sheet name="ISERROR_Example 3" sheetId="277" state="hidden" r:id="rId231"/>
    <sheet name="ISERROR_FAQ 1" sheetId="278" state="hidden" r:id="rId232"/>
    <sheet name="ISERROR_FAQ 2" sheetId="279" state="hidden" r:id="rId233"/>
    <sheet name="NETWORKDAYS_Example" sheetId="280" state="hidden" r:id="rId234"/>
    <sheet name="NETWORKDAYS_Use" sheetId="282" state="hidden" r:id="rId235"/>
    <sheet name="NETWORKDAYS_Example 1" sheetId="283" state="hidden" r:id="rId236"/>
    <sheet name="NETWORKDAYS_Example 2" sheetId="284" state="hidden" r:id="rId237"/>
    <sheet name="NETWORKDAYS_Example 3" sheetId="285" state="hidden" r:id="rId238"/>
    <sheet name="NETWORKDAYS_FAQ" sheetId="286" state="hidden" r:id="rId239"/>
    <sheet name="PERCENTILE_Example" sheetId="287" state="hidden" r:id="rId240"/>
    <sheet name="PERCENTILE_Use" sheetId="289" state="hidden" r:id="rId241"/>
    <sheet name="PERCENTILE_Example 1" sheetId="290" state="hidden" r:id="rId242"/>
    <sheet name="PERCENTILE_Example 2" sheetId="291" state="hidden" r:id="rId243"/>
    <sheet name="PERCENTILE_Example 3" sheetId="292" state="hidden" r:id="rId244"/>
    <sheet name="PERCENTILE_FAQ1" sheetId="293" state="hidden" r:id="rId245"/>
    <sheet name="PERCENTILE_FAQ2" sheetId="294" state="hidden" r:id="rId246"/>
    <sheet name="ROUNDDOWN_Example" sheetId="295" state="hidden" r:id="rId247"/>
    <sheet name="ROUNDDOWN_Use" sheetId="297" state="hidden" r:id="rId248"/>
    <sheet name="ROUNDDOWN_Example 1" sheetId="298" state="hidden" r:id="rId249"/>
    <sheet name="ROUNDDOWN_Example 2" sheetId="299" state="hidden" r:id="rId250"/>
    <sheet name="ROUNDDOWN_Example 3" sheetId="300" state="hidden" r:id="rId251"/>
    <sheet name="ROUNDDOWN_FAQ" sheetId="301" state="hidden" r:id="rId252"/>
    <sheet name="ISNA_Example" sheetId="302" state="hidden" r:id="rId253"/>
    <sheet name="ISNA_Use" sheetId="304" state="hidden" r:id="rId254"/>
    <sheet name="ISNA_Example 1" sheetId="305" state="hidden" r:id="rId255"/>
    <sheet name="ISNA_Example 2" sheetId="307" state="hidden" r:id="rId256"/>
    <sheet name="ISNA_Example 3" sheetId="306" state="hidden" r:id="rId257"/>
    <sheet name="ISNA_FAQ" sheetId="308" state="hidden" r:id="rId258"/>
    <sheet name="MIRR_Example" sheetId="309" state="hidden" r:id="rId259"/>
    <sheet name="MIRR_Use" sheetId="311" state="hidden" r:id="rId260"/>
    <sheet name="MIRR_Example 1" sheetId="312" state="hidden" r:id="rId261"/>
    <sheet name="MIRR_Example 2" sheetId="313" state="hidden" r:id="rId262"/>
    <sheet name="MIRR_Example 3" sheetId="314" state="hidden" r:id="rId263"/>
    <sheet name="MIRR_FAQ" sheetId="315" state="hidden" r:id="rId264"/>
    <sheet name="CONVERT_Example" sheetId="316" state="hidden" r:id="rId265"/>
    <sheet name="Units" sheetId="318" state="hidden" r:id="rId266"/>
    <sheet name="CONVERT_Use" sheetId="319" state="hidden" r:id="rId267"/>
    <sheet name="CONVERT_Example 1" sheetId="320" state="hidden" r:id="rId268"/>
    <sheet name="CONVERT_Example 2" sheetId="321" state="hidden" r:id="rId269"/>
    <sheet name="CONVERT_Example 3" sheetId="322" state="hidden" r:id="rId270"/>
    <sheet name="CONVERT_FAQ 1" sheetId="323" state="hidden" r:id="rId271"/>
    <sheet name="REPT_Example" sheetId="325" state="hidden" r:id="rId272"/>
    <sheet name="REPT_Use" sheetId="327" state="hidden" r:id="rId273"/>
    <sheet name="REPT_Example 1" sheetId="328" state="hidden" r:id="rId274"/>
    <sheet name="REPT_Example 2" sheetId="329" state="hidden" r:id="rId275"/>
    <sheet name="REPT_Example 3" sheetId="330" state="hidden" r:id="rId276"/>
    <sheet name="REPT_FAQ 1" sheetId="331" state="hidden" r:id="rId277"/>
    <sheet name="PRICE_Example" sheetId="332" state="hidden" r:id="rId278"/>
    <sheet name="Freq and basis" sheetId="334" state="hidden" r:id="rId279"/>
    <sheet name="PRICE_Use" sheetId="335" state="hidden" r:id="rId280"/>
    <sheet name="PRICE_Example 1" sheetId="336" state="hidden" r:id="rId281"/>
    <sheet name="PRICE_Example 2" sheetId="337" state="hidden" r:id="rId282"/>
    <sheet name="PRICE_Example 3" sheetId="338" state="hidden" r:id="rId283"/>
    <sheet name="PRICE_FAQ" sheetId="339" state="hidden" r:id="rId284"/>
    <sheet name="GROWTH_Example" sheetId="340" state="hidden" r:id="rId285"/>
    <sheet name="GROWTH_Use" sheetId="343" state="hidden" r:id="rId286"/>
    <sheet name="GROWTH_Example 1" sheetId="342" state="hidden" r:id="rId287"/>
    <sheet name="GROWTH_Example 2" sheetId="344" state="hidden" r:id="rId288"/>
    <sheet name="GROWTH_Example 3" sheetId="345" state="hidden" r:id="rId289"/>
    <sheet name="GROWTH_FAQ 1" sheetId="346" state="hidden" r:id="rId290"/>
    <sheet name="AVERAGEIF_Example" sheetId="347" state="hidden" r:id="rId291"/>
    <sheet name="AVERAGEIF_Use" sheetId="349" state="hidden" r:id="rId292"/>
    <sheet name="AVERAGEIF_Example 1" sheetId="350" state="hidden" r:id="rId293"/>
    <sheet name="AVERAGEIF_Example 2" sheetId="351" state="hidden" r:id="rId294"/>
    <sheet name="AVERAGEIF_Example 3" sheetId="352" state="hidden" r:id="rId295"/>
    <sheet name="AVERAGEIF_FAQ 1" sheetId="353" state="hidden" r:id="rId296"/>
    <sheet name="AVERAGEIF_FAQ 2" sheetId="354" state="hidden" r:id="rId297"/>
    <sheet name="NPER_Example" sheetId="355" state="hidden" r:id="rId298"/>
    <sheet name="Installments" sheetId="357" state="hidden" r:id="rId299"/>
    <sheet name="NPER_Use" sheetId="358" state="hidden" r:id="rId300"/>
    <sheet name="NPER_Example 1" sheetId="359" state="hidden" r:id="rId301"/>
    <sheet name="NPER_Example 2" sheetId="360" state="hidden" r:id="rId302"/>
    <sheet name="NPER_Example 3" sheetId="361" state="hidden" r:id="rId303"/>
    <sheet name="NPER_FAQ" sheetId="362" state="hidden" r:id="rId304"/>
    <sheet name="MMULT_Example" sheetId="363" state="hidden" r:id="rId305"/>
    <sheet name="MMULT_Use" sheetId="365" state="hidden" r:id="rId306"/>
    <sheet name="MMULT_Example 1" sheetId="366" state="hidden" r:id="rId307"/>
    <sheet name="MMULT_Example 2" sheetId="367" state="hidden" r:id="rId308"/>
    <sheet name="MMULT_Example 3" sheetId="368" state="hidden" r:id="rId309"/>
    <sheet name="MMULT_FAQ" sheetId="369" state="hidden" r:id="rId310"/>
    <sheet name="YIELD_Example" sheetId="370" state="hidden" r:id="rId311"/>
    <sheet name="Freq_Basis" sheetId="372" state="hidden" r:id="rId312"/>
    <sheet name="YIELD_Use" sheetId="373" state="hidden" r:id="rId313"/>
    <sheet name="YIELD_Example 1" sheetId="374" state="hidden" r:id="rId314"/>
    <sheet name="YIELD_Example 2" sheetId="375" state="hidden" r:id="rId315"/>
    <sheet name="YIELD_Example 3" sheetId="376" state="hidden" r:id="rId316"/>
    <sheet name="YIELD_FAQ" sheetId="377" state="hidden" r:id="rId317"/>
    <sheet name="Stock Chart_Example" sheetId="378" state="hidden" r:id="rId318"/>
    <sheet name="Stock Chart_Use" sheetId="379" state="hidden" r:id="rId319"/>
    <sheet name="Stock_Example 1" sheetId="380" state="hidden" r:id="rId320"/>
    <sheet name="Stock_Example 2" sheetId="381" state="hidden" r:id="rId321"/>
    <sheet name="Stock_FAQ" sheetId="384" state="hidden" r:id="rId322"/>
    <sheet name="LOOKUP_Example" sheetId="385" state="hidden" r:id="rId323"/>
    <sheet name="LOOKUP_Use" sheetId="386" state="hidden" r:id="rId324"/>
    <sheet name="LOOKUP_Example 1" sheetId="387" state="hidden" r:id="rId325"/>
    <sheet name="LOOKUP_Example 2" sheetId="388" state="hidden" r:id="rId326"/>
    <sheet name="LOOKUP_Example 3" sheetId="389" state="hidden" r:id="rId327"/>
    <sheet name="LOOKUP_FAQ" sheetId="390" state="hidden" r:id="rId328"/>
    <sheet name="Grouped Bar_Example" sheetId="391" state="hidden" r:id="rId329"/>
    <sheet name="Grouped Bar_Use_rough" sheetId="392" state="hidden" r:id="rId330"/>
    <sheet name="Grouped Bar_Use" sheetId="395" state="hidden" r:id="rId331"/>
    <sheet name="Grouped Bar_Use1" sheetId="394" state="hidden" r:id="rId332"/>
    <sheet name="Grouped Bar_Example 1" sheetId="393" state="hidden" r:id="rId333"/>
    <sheet name="Grouped Bar_Example 2" sheetId="396" state="hidden" r:id="rId334"/>
    <sheet name="Grouped Bar_FAQ" sheetId="397" state="hidden" r:id="rId335"/>
    <sheet name="Timeline Chart_Example" sheetId="398" state="hidden" r:id="rId336"/>
    <sheet name="Timeline Chart_Use" sheetId="399" state="hidden" r:id="rId337"/>
    <sheet name="Timeline Chart_Example 1" sheetId="400" state="hidden" r:id="rId338"/>
    <sheet name="Timeline Chart_Example 2" sheetId="401" state="hidden" r:id="rId339"/>
    <sheet name="Timeline Chart_FAQ" sheetId="402" state="hidden" r:id="rId340"/>
    <sheet name="Two-var_Example" sheetId="403" state="hidden" r:id="rId341"/>
    <sheet name="Two-var_Use" sheetId="406" state="hidden" r:id="rId342"/>
    <sheet name="Two-var_Calculation Sheet" sheetId="407" state="hidden" r:id="rId343"/>
    <sheet name="Two-var Output Sheet" sheetId="408" state="hidden" r:id="rId344"/>
    <sheet name="Two-var_Example 2" sheetId="410" state="hidden" r:id="rId345"/>
    <sheet name="Two-var_FAQ" sheetId="411" state="hidden" r:id="rId346"/>
    <sheet name="One-var_Example" sheetId="412" state="hidden" r:id="rId347"/>
    <sheet name="One-var_Use" sheetId="413" state="hidden" r:id="rId348"/>
    <sheet name="One-var_Example 1" sheetId="414" state="hidden" r:id="rId349"/>
    <sheet name="One-var Example 2" sheetId="415" state="hidden" r:id="rId350"/>
    <sheet name="One-var_FAQ" sheetId="416" state="hidden" r:id="rId351"/>
    <sheet name="Funnel_Example" sheetId="417" state="hidden" r:id="rId352"/>
    <sheet name="Funnel_Use_2013" sheetId="418" state="hidden" r:id="rId353"/>
    <sheet name="Funnel_Use" sheetId="419" state="hidden" r:id="rId354"/>
    <sheet name="Funnel_Example 1" sheetId="420" state="hidden" r:id="rId355"/>
    <sheet name="Funnel_Example 2" sheetId="421" state="hidden" r:id="rId356"/>
    <sheet name="Funnel_Example 2_1" sheetId="422" state="hidden" r:id="rId357"/>
    <sheet name="Funnel_FAQ" sheetId="423" state="hidden" r:id="rId358"/>
    <sheet name="EFNW_Example" sheetId="424" state="hidden" r:id="rId359"/>
    <sheet name="EFNW_1_2" sheetId="425" state="hidden" r:id="rId360"/>
    <sheet name="EFNW_3_4" sheetId="426" state="hidden" r:id="rId361"/>
    <sheet name="EFNW_5" sheetId="427" state="hidden" r:id="rId362"/>
    <sheet name="EFNW 6" sheetId="428" state="hidden" r:id="rId363"/>
    <sheet name="EFNW_7" sheetId="429" state="hidden" r:id="rId364"/>
    <sheet name="EFNW_Not updating" sheetId="432" state="hidden" r:id="rId365"/>
    <sheet name="EFNW_Not Calculating" sheetId="433" state="hidden" r:id="rId366"/>
    <sheet name="EFNW_FAQ" sheetId="434" state="hidden" r:id="rId367"/>
    <sheet name="SUMIF_Mult_Example" sheetId="435" state="hidden" r:id="rId368"/>
    <sheet name="SUMIF_Mult_Use" sheetId="436" state="hidden" r:id="rId369"/>
    <sheet name="SUMIF_Mult_Example 1" sheetId="437" state="hidden" r:id="rId370"/>
    <sheet name="SUMIF_Mult_Example 2" sheetId="438" state="hidden" r:id="rId371"/>
    <sheet name="SUMIF_Mult_Example 3" sheetId="439" state="hidden" r:id="rId372"/>
    <sheet name="SUMIFS_Mult_Use" sheetId="440" state="hidden" r:id="rId373"/>
    <sheet name="SUMIFS_Mult_Example 1" sheetId="441" state="hidden" r:id="rId374"/>
    <sheet name="SUMIFS_Mult_Example 2" sheetId="442" state="hidden" r:id="rId375"/>
    <sheet name="SUMIFS_Mult_Example 3" sheetId="443" state="hidden" r:id="rId376"/>
    <sheet name="SUMIF_Mult_FAQ" sheetId="444" state="hidden" r:id="rId377"/>
    <sheet name="CORREL_Example" sheetId="445" state="hidden" r:id="rId378"/>
    <sheet name="CORREL_Use" sheetId="447" state="hidden" r:id="rId379"/>
    <sheet name="CORREL_Example 1" sheetId="448" state="hidden" r:id="rId380"/>
    <sheet name="CORREL_Example 2" sheetId="449" state="hidden" r:id="rId381"/>
    <sheet name="CORREL_Example 3" sheetId="450" state="hidden" r:id="rId382"/>
    <sheet name="CORREL_FAQ" sheetId="451" state="hidden" r:id="rId383"/>
    <sheet name="FALSE_Example" sheetId="452" state="hidden" r:id="rId384"/>
    <sheet name="FALSE_Use" sheetId="454" state="hidden" r:id="rId385"/>
    <sheet name="FALSE_Example 1" sheetId="455" state="hidden" r:id="rId386"/>
    <sheet name="FALSE_Example 2" sheetId="456" state="hidden" r:id="rId387"/>
    <sheet name="FALSE_Example 3" sheetId="457" state="hidden" r:id="rId388"/>
    <sheet name="FALSE_FAQ 1" sheetId="458" state="hidden" r:id="rId389"/>
    <sheet name="FALSE_FAQ 2" sheetId="459" state="hidden" r:id="rId390"/>
    <sheet name="RANDBETWEEN_Example" sheetId="460" state="hidden" r:id="rId391"/>
    <sheet name="RANBETWEEN_Use" sheetId="462" state="hidden" r:id="rId392"/>
    <sheet name="RANBETWEEN_Use1" sheetId="463" state="hidden" r:id="rId393"/>
    <sheet name="RANBETWEEN_Example 1" sheetId="464" state="hidden" r:id="rId394"/>
    <sheet name="RANBETWEEN_Example 2" sheetId="465" state="hidden" r:id="rId395"/>
    <sheet name="RANBETWEEN_Example 3" sheetId="466" state="hidden" r:id="rId396"/>
    <sheet name="RANBETWEEN_FAQ" sheetId="467" state="hidden" r:id="rId397"/>
    <sheet name="RANBETWEEN_FAQ1" sheetId="468" state="hidden" r:id="rId398"/>
    <sheet name="PRODUCT_Example" sheetId="469" state="hidden" r:id="rId399"/>
    <sheet name="PRODUCT_Use" sheetId="471" state="hidden" r:id="rId400"/>
    <sheet name="PRODUCT_Example 1" sheetId="472" state="hidden" r:id="rId401"/>
    <sheet name="PRODUCT_Example 2" sheetId="473" state="hidden" r:id="rId402"/>
    <sheet name="PRODUCT_Example 3" sheetId="474" state="hidden" r:id="rId403"/>
    <sheet name="PRODUCT_FAQ" sheetId="476" state="hidden" r:id="rId404"/>
    <sheet name="Sales Report_RegionalOffice1" sheetId="477" state="hidden" r:id="rId405"/>
    <sheet name="Sales Report_RegionalOffice2" sheetId="478" state="hidden" r:id="rId406"/>
    <sheet name="Sales Report_Overall" sheetId="481" state="hidden" r:id="rId407"/>
    <sheet name="Texas_Year1 Revenue Report" sheetId="482" state="hidden" r:id="rId408"/>
    <sheet name="Texas_Year2 Revenue Report" sheetId="483" state="hidden" r:id="rId409"/>
    <sheet name="Texas_Year3 Revenue Report" sheetId="484" state="hidden" r:id="rId410"/>
    <sheet name="Texas_Overall Revenue Report" sheetId="488" state="hidden" r:id="rId411"/>
    <sheet name="Assessment1_Marks" sheetId="489" state="hidden" r:id="rId412"/>
    <sheet name="Assessment2_Marks" sheetId="490" state="hidden" r:id="rId413"/>
    <sheet name="Assessment_Best Of Two" sheetId="494" state="hidden" r:id="rId414"/>
    <sheet name="Dealer1_Order Data" sheetId="495" state="hidden" r:id="rId415"/>
    <sheet name="Dealer2_Order Data" sheetId="496" state="hidden" r:id="rId416"/>
    <sheet name="Dealers_Overall Order Data" sheetId="499" state="hidden" r:id="rId417"/>
    <sheet name="Table1_Data" sheetId="500" state="hidden" r:id="rId418"/>
    <sheet name="2021_Day Temperature" sheetId="503" state="hidden" r:id="rId419"/>
    <sheet name="2022_Day Temperature" sheetId="504" state="hidden" r:id="rId420"/>
    <sheet name="Average_Day Temperature" sheetId="505" state="hidden" r:id="rId421"/>
    <sheet name="WEEKNUM_Example" sheetId="507" state="hidden" r:id="rId422"/>
    <sheet name="Return Type" sheetId="509" state="hidden" r:id="rId423"/>
    <sheet name="WEEKNUM_Use" sheetId="510" state="hidden" r:id="rId424"/>
    <sheet name="WEEKNUM_Example 1" sheetId="511" state="hidden" r:id="rId425"/>
    <sheet name="WEEKNUM_Example 2" sheetId="512" state="hidden" r:id="rId426"/>
    <sheet name="WEEKNUM_Example 3" sheetId="513" state="hidden" r:id="rId427"/>
    <sheet name="WEEKNUM_FAQ" sheetId="514" state="hidden" r:id="rId428"/>
    <sheet name="TDIST_Example" sheetId="515" state="hidden" r:id="rId429"/>
    <sheet name="TDIST_Use" sheetId="516" state="hidden" r:id="rId430"/>
    <sheet name="TDIST_Example 1" sheetId="517" state="hidden" r:id="rId431"/>
    <sheet name="TDIST_Example 2" sheetId="518" state="hidden" r:id="rId432"/>
    <sheet name="TDIST_Example 3" sheetId="519" state="hidden" r:id="rId433"/>
    <sheet name="TDIST_FAQ" sheetId="520" state="hidden" r:id="rId434"/>
    <sheet name="SQRT_Example" sheetId="521" state="hidden" r:id="rId435"/>
    <sheet name="SQRT_Use" sheetId="523" state="hidden" r:id="rId436"/>
    <sheet name="SQRT_Example 1" sheetId="524" state="hidden" r:id="rId437"/>
    <sheet name="SQRT_Example 2" sheetId="525" state="hidden" r:id="rId438"/>
    <sheet name="SQRT_Example 3" sheetId="526" state="hidden" r:id="rId439"/>
    <sheet name="SQRT_FAQ" sheetId="527" state="hidden" r:id="rId440"/>
    <sheet name="NORM.DIST_Example" sheetId="528" state="hidden" r:id="rId441"/>
    <sheet name="NORM.DIST_Use" sheetId="530" state="hidden" r:id="rId442"/>
    <sheet name="NORM.DIST_Example 1" sheetId="531" state="hidden" r:id="rId443"/>
    <sheet name="NORM.DIST_Example 1_1" sheetId="532" state="hidden" r:id="rId444"/>
    <sheet name="NORM.DIST_Example 2" sheetId="533" state="hidden" r:id="rId445"/>
    <sheet name="NORM.DIST_Example 3" sheetId="534" state="hidden" r:id="rId446"/>
    <sheet name="NORM.DIST_FAQ" sheetId="535" state="hidden" r:id="rId447"/>
    <sheet name="MOD_Example" sheetId="536" state="hidden" r:id="rId448"/>
    <sheet name="MOD_Use" sheetId="538" state="hidden" r:id="rId449"/>
    <sheet name="MOD_Example 1" sheetId="539" state="hidden" r:id="rId450"/>
    <sheet name="MOD_Example 2" sheetId="540" state="hidden" r:id="rId451"/>
    <sheet name="MOD_Example 3" sheetId="541" state="hidden" r:id="rId452"/>
    <sheet name="MOD_FAQ 1" sheetId="542" state="hidden" r:id="rId453"/>
    <sheet name="LOG_Example" sheetId="543" state="hidden" r:id="rId454"/>
    <sheet name="LOG_Use" sheetId="545" state="hidden" r:id="rId455"/>
    <sheet name="LOG_Example 1" sheetId="546" state="hidden" r:id="rId456"/>
    <sheet name="LOG_Example 2" sheetId="547" state="hidden" r:id="rId457"/>
    <sheet name="LOG_Example 3" sheetId="548" state="hidden" r:id="rId458"/>
    <sheet name="LOG_FAQ" sheetId="549" state="hidden" r:id="rId459"/>
    <sheet name="ISTEXT_Example" sheetId="550" state="hidden" r:id="rId460"/>
    <sheet name="ISTEXT_Use" sheetId="552" state="hidden" r:id="rId461"/>
    <sheet name="ISTEXT_Example 1" sheetId="553" state="hidden" r:id="rId462"/>
    <sheet name="ISTEXT_Example 2" sheetId="554" state="hidden" r:id="rId463"/>
    <sheet name="ISTEXT_Example 3" sheetId="555" state="hidden" r:id="rId464"/>
    <sheet name="ISTEXT_FAQ" sheetId="556" state="hidden" r:id="rId465"/>
    <sheet name="INT_Example" sheetId="557" state="hidden" r:id="rId466"/>
    <sheet name="INT_Use" sheetId="559" state="hidden" r:id="rId467"/>
    <sheet name="INT_Example 1" sheetId="562" state="hidden" r:id="rId468"/>
    <sheet name="INT_Example 2" sheetId="560" state="hidden" r:id="rId469"/>
    <sheet name="INT_Example 3" sheetId="561" state="hidden" r:id="rId470"/>
    <sheet name="INT_FAQ" sheetId="563" state="hidden" r:id="rId471"/>
    <sheet name="IFNA_Example" sheetId="564" state="hidden" r:id="rId472"/>
    <sheet name="IFNA_Use" sheetId="566" state="hidden" r:id="rId473"/>
    <sheet name="IFNA_Example 1" sheetId="567" state="hidden" r:id="rId474"/>
    <sheet name="IFNA_Example 2" sheetId="568" state="hidden" r:id="rId475"/>
    <sheet name="IFNA_Example 3" sheetId="569" state="hidden" r:id="rId476"/>
    <sheet name="IFNA_FAQ" sheetId="571" state="hidden" r:id="rId477"/>
    <sheet name="HYPERLINK_Example" sheetId="572" state="hidden" r:id="rId478"/>
    <sheet name="HYPERLINK_Use" sheetId="574" state="hidden" r:id="rId479"/>
    <sheet name="HYPERLINK_Example 1" sheetId="575" state="hidden" r:id="rId480"/>
    <sheet name="HYPERLINK_Example 2" sheetId="576" state="hidden" r:id="rId481"/>
    <sheet name="HYPERLINK_Example 3" sheetId="577" state="hidden" r:id="rId482"/>
    <sheet name="HYPERLINK_FAQ" sheetId="578" state="hidden" r:id="rId483"/>
    <sheet name="HYPERLINK_FAQ 1" sheetId="579" state="hidden" r:id="rId484"/>
    <sheet name="FTEST_Example" sheetId="580" state="hidden" r:id="rId485"/>
    <sheet name="FTEST_Use" sheetId="583" state="hidden" r:id="rId486"/>
    <sheet name="FTEST_Example 1" sheetId="584" state="hidden" r:id="rId487"/>
    <sheet name="FTEST_Example 2" sheetId="585" state="hidden" r:id="rId488"/>
    <sheet name="FTEST_Example 3" sheetId="586" state="hidden" r:id="rId489"/>
    <sheet name="FTEST_FAQ" sheetId="587" state="hidden" r:id="rId490"/>
    <sheet name="EXP_Example" sheetId="588" state="hidden" r:id="rId491"/>
    <sheet name="EXP_Use" sheetId="590" state="hidden" r:id="rId492"/>
    <sheet name="EXP_Example 1" sheetId="591" state="hidden" r:id="rId493"/>
    <sheet name="EXP_Example 2" sheetId="592" state="hidden" r:id="rId494"/>
    <sheet name="EXP_Example 3" sheetId="593" state="hidden" r:id="rId495"/>
    <sheet name="EXP_FAQ" sheetId="594" state="hidden" r:id="rId496"/>
    <sheet name="EXP_FAQ1" sheetId="595" state="hidden" r:id="rId497"/>
    <sheet name="DMAX_Example" sheetId="596" state="hidden" r:id="rId498"/>
    <sheet name="DMAX_Use" sheetId="597" state="hidden" r:id="rId499"/>
    <sheet name="DMAX_Example 1" sheetId="598" state="hidden" r:id="rId500"/>
    <sheet name="DMAX_Example 2" sheetId="599" state="hidden" r:id="rId501"/>
    <sheet name="DMAX_Example 3" sheetId="601" state="hidden" r:id="rId502"/>
    <sheet name="DMAX_FAQ" sheetId="602" state="hidden" r:id="rId503"/>
    <sheet name="COVAR_Example" sheetId="603" state="hidden" r:id="rId504"/>
    <sheet name="COVAR_Use" sheetId="605" state="hidden" r:id="rId505"/>
    <sheet name="COVAR_Example 1" sheetId="606" state="hidden" r:id="rId506"/>
    <sheet name="COVAR_Example 2" sheetId="607" state="hidden" r:id="rId507"/>
    <sheet name="COVAR_Example 3" sheetId="608" state="hidden" r:id="rId508"/>
    <sheet name="COVAR_FAQ" sheetId="609" state="hidden" r:id="rId509"/>
    <sheet name="COUNTBLANK_Example" sheetId="610" state="hidden" r:id="rId510"/>
    <sheet name="COUNTBLANK_Use" sheetId="612" state="hidden" r:id="rId511"/>
    <sheet name="COUNTBLANK_Example 1" sheetId="613" state="hidden" r:id="rId512"/>
    <sheet name="COUNTBLANK_Example 2" sheetId="614" state="hidden" r:id="rId513"/>
    <sheet name="COUNTBLANK_Example 3" sheetId="615" state="hidden" r:id="rId514"/>
    <sheet name="COUNTBLANK_FAQ" sheetId="616" state="hidden" r:id="rId515"/>
    <sheet name="COUNTBLANK_FAQ1" sheetId="617" state="hidden" r:id="rId516"/>
    <sheet name="Chi-Square Test_Example" sheetId="620" state="hidden" r:id="rId517"/>
    <sheet name="Chi-Square Test_Example1" sheetId="619" state="hidden" r:id="rId518"/>
    <sheet name="Chi-Square Test_Example 1" sheetId="618" state="hidden" r:id="rId519"/>
    <sheet name="Chi-Square Test_Example 2" sheetId="623" state="hidden" r:id="rId520"/>
    <sheet name="Chi-Square Test_FAQ" sheetId="624" state="hidden" r:id="rId521"/>
    <sheet name="ISEVEN_Example" sheetId="625" state="hidden" r:id="rId522"/>
    <sheet name="ISEVEN_Use" sheetId="627" state="hidden" r:id="rId523"/>
    <sheet name="ISEVEN_Example 1" sheetId="628" state="hidden" r:id="rId524"/>
    <sheet name="ISEVEN_Example 2" sheetId="629" state="hidden" r:id="rId525"/>
    <sheet name="ISEVEN_Example 3" sheetId="630" state="hidden" r:id="rId526"/>
    <sheet name="ISEVEN_FAQ" sheetId="631" state="hidden" r:id="rId527"/>
    <sheet name="ISODD_Example" sheetId="632" state="hidden" r:id="rId528"/>
    <sheet name="ISODD_Use" sheetId="634" state="hidden" r:id="rId529"/>
    <sheet name="ISODD_Example 1" sheetId="635" state="hidden" r:id="rId530"/>
    <sheet name="ISODD_Example 2" sheetId="636" state="hidden" r:id="rId531"/>
    <sheet name="ISODD_Example 3" sheetId="637" state="hidden" r:id="rId532"/>
    <sheet name="Sheet8" sheetId="638" state="hidden" r:id="rId533"/>
    <sheet name="ISODD_FAQ" sheetId="639" state="hidden" r:id="rId534"/>
    <sheet name="IRR_Example" sheetId="640" state="hidden" r:id="rId535"/>
    <sheet name="IRR_Use" sheetId="642" state="hidden" r:id="rId536"/>
    <sheet name="IRR_Example 1" sheetId="643" state="hidden" r:id="rId537"/>
    <sheet name="IRR_Example 2" sheetId="644" state="hidden" r:id="rId538"/>
    <sheet name="IRR_Example 3" sheetId="645" state="hidden" r:id="rId539"/>
    <sheet name="IRR_FAQ" sheetId="646" state="hidden" r:id="rId540"/>
    <sheet name="IRR FAQ1" sheetId="648" state="hidden" r:id="rId541"/>
    <sheet name="Subtraction_Example" sheetId="649" state="hidden" r:id="rId542"/>
    <sheet name="Subtraction_Use" sheetId="650" state="hidden" r:id="rId543"/>
    <sheet name="Subtraction_Cells" sheetId="651" state="hidden" r:id="rId544"/>
    <sheet name="Subtraction_Columns" sheetId="652" state="hidden" r:id="rId545"/>
    <sheet name="Subtraction_Percentage" sheetId="653" state="hidden" r:id="rId546"/>
    <sheet name="Subtraction_Date" sheetId="654" state="hidden" r:id="rId547"/>
    <sheet name="Subtraction_Time" sheetId="655" state="hidden" r:id="rId548"/>
    <sheet name="Subtraction_Matrix" sheetId="656" state="hidden" r:id="rId549"/>
    <sheet name="Subtraction_Text" sheetId="657" state="hidden" r:id="rId550"/>
    <sheet name="Subtraction_List" sheetId="658" state="hidden" r:id="rId551"/>
    <sheet name="Subtraction_FAQ" sheetId="659" state="hidden" r:id="rId552"/>
    <sheet name="Divide_Example" sheetId="660" state="hidden" r:id="rId553"/>
    <sheet name="Divide_Sign" sheetId="661" state="hidden" r:id="rId554"/>
    <sheet name="Divide_Quotient" sheetId="663" state="hidden" r:id="rId555"/>
    <sheet name="Divide_Columns" sheetId="664" state="hidden" r:id="rId556"/>
    <sheet name="Divide_Col_Num" sheetId="665" state="hidden" r:id="rId557"/>
    <sheet name="Divide_Col_Num1" sheetId="666" state="hidden" r:id="rId558"/>
    <sheet name="Divide_Percentage" sheetId="667" state="hidden" r:id="rId559"/>
    <sheet name="Divide_Error" sheetId="668" state="hidden" r:id="rId560"/>
    <sheet name="DIVIDE_FAQ" sheetId="669" state="hidden" r:id="rId561"/>
    <sheet name="DIVIDE_FAQ1" sheetId="670" state="hidden" r:id="rId562"/>
    <sheet name="Substring_Example" sheetId="671" state="hidden" r:id="rId563"/>
    <sheet name="Substring_Fns" sheetId="672" state="hidden" r:id="rId564"/>
    <sheet name="Substring_before" sheetId="674" state="hidden" r:id="rId565"/>
    <sheet name="Substring_after" sheetId="675" state="hidden" r:id="rId566"/>
    <sheet name="Substring_between" sheetId="676" state="hidden" r:id="rId567"/>
    <sheet name="Substring_partial" sheetId="677" state="hidden" r:id="rId568"/>
    <sheet name="Substring_FAQ" sheetId="678" state="hidden" r:id="rId569"/>
    <sheet name="ConvertTN_Example" sheetId="679" state="hidden" r:id="rId570"/>
    <sheet name="ConvertTN_Identify" sheetId="680" state="hidden" r:id="rId571"/>
    <sheet name="ConvertTN_QuickOption" sheetId="681" state="hidden" r:id="rId572"/>
    <sheet name="ConvertTN_PasteSpecial" sheetId="682" state="hidden" r:id="rId573"/>
    <sheet name="ConvertTN_TextCol" sheetId="683" state="hidden" r:id="rId574"/>
    <sheet name="ConvertTN_Formula" sheetId="684" state="hidden" r:id="rId575"/>
    <sheet name="ConvertTN_Math" sheetId="685" state="hidden" r:id="rId576"/>
    <sheet name="ConvertTN_FAQ" sheetId="686" state="hidden" r:id="rId577"/>
    <sheet name="PChange_Example" sheetId="687" state="hidden" r:id="rId578"/>
    <sheet name="PChange_In_De" sheetId="688" state="hidden" r:id="rId579"/>
    <sheet name="PChange_After" sheetId="695" state="hidden" r:id="rId580"/>
    <sheet name="PChange_After1" sheetId="689" state="hidden" r:id="rId581"/>
    <sheet name="PChange_Absolute" sheetId="690" state="hidden" r:id="rId582"/>
    <sheet name="PChange_Discount" sheetId="691" state="hidden" r:id="rId583"/>
    <sheet name="PChange_Zero" sheetId="692" state="hidden" r:id="rId584"/>
    <sheet name="PChange_Negative" sheetId="693" state="hidden" r:id="rId585"/>
    <sheet name="PChange_Error" sheetId="694" state="hidden" r:id="rId586"/>
    <sheet name="PChange_FAQ" sheetId="696" state="hidden" r:id="rId587"/>
    <sheet name="VALUE_Error_Example" sheetId="697" state="hidden" r:id="rId588"/>
    <sheet name="VALUE_Error_Text_String" sheetId="698" state="hidden" r:id="rId589"/>
    <sheet name="VALUE_Error_Argument_Type" sheetId="699" state="hidden" r:id="rId590"/>
    <sheet name="VALUE_Error_Date" sheetId="700" state="hidden" r:id="rId591"/>
    <sheet name="VALUE_Error_Fix" sheetId="701" state="hidden" r:id="rId592"/>
    <sheet name="VALUE_Error_Find" sheetId="702" state="hidden" r:id="rId593"/>
    <sheet name="VALUE_Error_FAQ" sheetId="703" state="hidden" r:id="rId594"/>
    <sheet name="P-value_Example" sheetId="704" state="hidden" r:id="rId595"/>
    <sheet name="P-Value_Use" sheetId="706" state="hidden" r:id="rId596"/>
    <sheet name="Sheet5" sheetId="710" state="hidden" r:id="rId597"/>
    <sheet name="P-Value_Use1" sheetId="707" state="hidden" r:id="rId598"/>
    <sheet name="P-Value_Example 1" sheetId="708" state="hidden" r:id="rId599"/>
    <sheet name="P-Value_Example 2" sheetId="709" state="hidden" r:id="rId600"/>
    <sheet name="P-Value FAQ" sheetId="711" state="hidden" r:id="rId601"/>
    <sheet name="Page_Example" sheetId="742" state="hidden" r:id="rId602"/>
    <sheet name="Page_Create" sheetId="722" state="hidden" r:id="rId603"/>
    <sheet name="Sheet15" sheetId="723" state="hidden" r:id="rId604"/>
    <sheet name="Page_Example 1" sheetId="736" state="hidden" r:id="rId605"/>
    <sheet name="Page_Example 2" sheetId="737" state="hidden" r:id="rId606"/>
    <sheet name="Page_Example 3" sheetId="740" state="hidden" r:id="rId607"/>
    <sheet name="Page_FAQ" sheetId="741" state="hidden" r:id="rId608"/>
    <sheet name="CONFIDENCE_Example" sheetId="743" state="hidden" r:id="rId609"/>
    <sheet name="CONFIDENCE_Use" sheetId="745" state="hidden" r:id="rId610"/>
    <sheet name="CONFIDENCE_Example 1" sheetId="746" state="hidden" r:id="rId611"/>
    <sheet name="CONFIDENCE_Example 1_1" sheetId="747" state="hidden" r:id="rId612"/>
    <sheet name="CONFIDENCE_Example 2" sheetId="748" state="hidden" r:id="rId613"/>
    <sheet name="CONFIDENCE_Example 3" sheetId="749" state="hidden" r:id="rId614"/>
    <sheet name="CONFIDENCE_FAQ" sheetId="750" state="hidden" r:id="rId615"/>
    <sheet name="LI_Example" sheetId="751" state="hidden" r:id="rId616"/>
    <sheet name="LI_Use" sheetId="753" state="hidden" r:id="rId617"/>
    <sheet name="LI_Example1" sheetId="755" state="hidden" r:id="rId618"/>
    <sheet name="LI_Example2" sheetId="756" state="hidden" r:id="rId619"/>
    <sheet name="LI_Example3" sheetId="754" state="hidden" r:id="rId620"/>
    <sheet name="LI_FAQ" sheetId="757" state="hidden" r:id="rId621"/>
    <sheet name="CS_Example" sheetId="758" state="hidden" r:id="rId622"/>
    <sheet name="CS_Use" sheetId="759" state="hidden" r:id="rId623"/>
    <sheet name="CS_Example 1" sheetId="760" state="hidden" r:id="rId624"/>
    <sheet name="CS_Example 2" sheetId="761" state="hidden" r:id="rId625"/>
    <sheet name="CS_Example 3" sheetId="762" state="hidden" r:id="rId626"/>
    <sheet name="CS_FAQ" sheetId="763" state="hidden" r:id="rId627"/>
    <sheet name="UNICODE_Example" sheetId="764" state="hidden" r:id="rId628"/>
    <sheet name="UNICODE_Use" sheetId="766" state="hidden" r:id="rId629"/>
    <sheet name="UNICODE_Example 1" sheetId="767" state="hidden" r:id="rId630"/>
    <sheet name="UNICODE_Example 2" sheetId="768" state="hidden" r:id="rId631"/>
    <sheet name="UNICODE_Example 23" sheetId="769" state="hidden" r:id="rId632"/>
    <sheet name="UNICODE_Example 3" sheetId="770" state="hidden" r:id="rId633"/>
    <sheet name="UNICODE_FAQ" sheetId="771" state="hidden" r:id="rId634"/>
    <sheet name="Fractions_Example" sheetId="772" state="hidden" r:id="rId635"/>
    <sheet name="Fractions_Use" sheetId="773" state="hidden" r:id="rId636"/>
    <sheet name="Fractions_Example 1" sheetId="774" state="hidden" r:id="rId637"/>
    <sheet name="Fractions_Example 2" sheetId="775" state="hidden" r:id="rId638"/>
    <sheet name="Fractions_Example 3" sheetId="776" state="hidden" r:id="rId639"/>
    <sheet name="Fractions_FAQ" sheetId="778" state="hidden" r:id="rId640"/>
    <sheet name="IF_AND_Example" sheetId="779" state="hidden" r:id="rId641"/>
    <sheet name="IF_AND_Use" sheetId="781" state="hidden" r:id="rId642"/>
    <sheet name="IF_AND_Example 1" sheetId="782" state="hidden" r:id="rId643"/>
    <sheet name="IF_AND_Example 2" sheetId="783" state="hidden" r:id="rId644"/>
    <sheet name="IF_AND_Example 3" sheetId="784" state="hidden" r:id="rId645"/>
    <sheet name="IF_AND_FAQ" sheetId="785" state="hidden" r:id="rId646"/>
    <sheet name="NORM.S.INV_Example" sheetId="786" state="hidden" r:id="rId647"/>
    <sheet name="NORM.S.INV_Use" sheetId="788" state="hidden" r:id="rId648"/>
    <sheet name="NORM.S.INV_Example 1" sheetId="789" state="hidden" r:id="rId649"/>
    <sheet name="NORM.S.INV_Example 2" sheetId="790" state="hidden" r:id="rId650"/>
    <sheet name="NORM.S.INV_Example 3" sheetId="791" state="hidden" r:id="rId651"/>
    <sheet name="NORM.S.INV_FAQ" sheetId="792" state="hidden" r:id="rId652"/>
    <sheet name="NORM.S.INV_FAQ1" sheetId="793" state="hidden" r:id="rId653"/>
    <sheet name="Percentage_Example" sheetId="794" state="hidden" r:id="rId654"/>
    <sheet name="Percentage_Use" sheetId="795" state="hidden" r:id="rId655"/>
    <sheet name="Percentage_Example 1" sheetId="796" state="hidden" r:id="rId656"/>
    <sheet name="Percentage_Example 2" sheetId="797" state="hidden" r:id="rId657"/>
    <sheet name="Percentage_Example 3" sheetId="798" state="hidden" r:id="rId658"/>
    <sheet name="Percentage_FAQ" sheetId="799" state="hidden" r:id="rId659"/>
    <sheet name="SentenceCase_Example" sheetId="800" state="hidden" r:id="rId660"/>
    <sheet name="SentenceCase_Use" sheetId="801" state="hidden" r:id="rId661"/>
    <sheet name="SentenceCase_Example 1" sheetId="802" state="hidden" r:id="rId662"/>
    <sheet name="SentenceCase_Example 2" sheetId="803" state="hidden" r:id="rId663"/>
    <sheet name="SentenceCase_Example 3" sheetId="804" state="hidden" r:id="rId664"/>
    <sheet name="SentenceCase_FAQ" sheetId="805" state="hidden" r:id="rId665"/>
    <sheet name="SP_MC_Example" sheetId="806" state="hidden" r:id="rId666"/>
    <sheet name="SP_MC_Use" sheetId="808" state="hidden" r:id="rId667"/>
    <sheet name="SP_MC_Example 1" sheetId="809" state="hidden" r:id="rId668"/>
    <sheet name="SP_MC_Example 2" sheetId="810" state="hidden" r:id="rId669"/>
    <sheet name="SP_MC_Example 3" sheetId="811" state="hidden" r:id="rId670"/>
    <sheet name="SP_MC_FAQ" sheetId="812" state="hidden" r:id="rId671"/>
    <sheet name="Charts_Example" sheetId="813" state="hidden" r:id="rId672"/>
    <sheet name="Chart_Column" sheetId="814" state="hidden" r:id="rId673"/>
    <sheet name="Chart_Line" sheetId="815" state="hidden" r:id="rId674"/>
    <sheet name="Chart_Pie" sheetId="816" state="hidden" r:id="rId675"/>
    <sheet name="Chart_Bar" sheetId="817" state="hidden" r:id="rId676"/>
    <sheet name="Chart_Area" sheetId="818" state="hidden" r:id="rId677"/>
    <sheet name="Chart_Scatter" sheetId="819" state="hidden" r:id="rId678"/>
    <sheet name="Chart_Stock" sheetId="820" state="hidden" r:id="rId679"/>
    <sheet name="Chart_Radar" sheetId="821" state="hidden" r:id="rId680"/>
    <sheet name="Chart_Histogram" sheetId="822" state="hidden" r:id="rId681"/>
    <sheet name="Chart_Waterfall" sheetId="823" state="hidden" r:id="rId682"/>
    <sheet name="Z-test_Example" sheetId="824" state="hidden" r:id="rId683"/>
    <sheet name="Z-test_Use" sheetId="826" state="hidden" r:id="rId684"/>
    <sheet name="Z-test_Example 1" sheetId="827" state="hidden" r:id="rId685"/>
    <sheet name="Z-test_Example 2" sheetId="828" state="hidden" r:id="rId686"/>
    <sheet name="Z-test_Example 3" sheetId="829" state="hidden" r:id="rId687"/>
    <sheet name="Z-test_FAQ" sheetId="830" state="hidden" r:id="rId688"/>
    <sheet name="WD_Example" sheetId="831" state="hidden" r:id="rId689"/>
    <sheet name="WD_Use" sheetId="833" state="hidden" r:id="rId690"/>
    <sheet name="WD_Example 1" sheetId="834" state="hidden" r:id="rId691"/>
    <sheet name="WD_Example 2" sheetId="835" state="hidden" r:id="rId692"/>
    <sheet name="WD_Example 3" sheetId="836" state="hidden" r:id="rId693"/>
    <sheet name="WD_Example 3_1" sheetId="837" state="hidden" r:id="rId694"/>
    <sheet name="WD_FAQ" sheetId="838" state="hidden" r:id="rId695"/>
    <sheet name="Break-Even_Example" sheetId="839" state="hidden" r:id="rId696"/>
    <sheet name="Break-Even_Example 1" sheetId="841" state="hidden" r:id="rId697"/>
    <sheet name="Break-Even_Example 2" sheetId="842" state="hidden" r:id="rId698"/>
    <sheet name="Break-Even_Example 3" sheetId="843" state="hidden" r:id="rId699"/>
    <sheet name="Break-Even_Example 4" sheetId="844" state="hidden" r:id="rId700"/>
    <sheet name="Break-Even_FAQ" sheetId="845" state="hidden" r:id="rId701"/>
    <sheet name="DEGREES_Example" sheetId="846" state="hidden" r:id="rId702"/>
    <sheet name="DEGREES_Use" sheetId="847" state="hidden" r:id="rId703"/>
    <sheet name="DEGREES_Example 1" sheetId="848" state="hidden" r:id="rId704"/>
    <sheet name="DEGREES_Example 2" sheetId="849" state="hidden" r:id="rId705"/>
    <sheet name="DEGREES_Example 3" sheetId="850" state="hidden" r:id="rId706"/>
    <sheet name="DEGREES_FAQ" sheetId="851" state="hidden" r:id="rId707"/>
    <sheet name="Area Chart_Example" sheetId="852" state="hidden" r:id="rId708"/>
    <sheet name="Area Chart_Use" sheetId="853" state="hidden" r:id="rId709"/>
    <sheet name="Area Chart_Example 1" sheetId="855" state="hidden" r:id="rId710"/>
    <sheet name="Area Chart_Example 2" sheetId="856" state="hidden" r:id="rId711"/>
    <sheet name="Area Chart_Example 2_1" sheetId="857" state="hidden" r:id="rId712"/>
    <sheet name="Area Chart_Example 3" sheetId="858" state="hidden" r:id="rId713"/>
    <sheet name="Area Chart_FAQ" sheetId="859" state="hidden" r:id="rId714"/>
    <sheet name="CColChart_Example" sheetId="860" state="hidden" r:id="rId715"/>
    <sheet name="CColChart_Use" sheetId="861" state="hidden" r:id="rId716"/>
    <sheet name="CColChart_Example 1" sheetId="864" state="hidden" r:id="rId717"/>
    <sheet name="CColChart_Example 2" sheetId="865" state="hidden" r:id="rId718"/>
    <sheet name="CColChart_Example 3" sheetId="866" state="hidden" r:id="rId719"/>
    <sheet name="CColChart_FAQ" sheetId="867" state="hidden" r:id="rId720"/>
    <sheet name="LOGNORMAL.DIST_Example" sheetId="868" state="hidden" r:id="rId721"/>
    <sheet name="LOGNORMAL.DIST_Use" sheetId="872" state="hidden" r:id="rId722"/>
    <sheet name="LOGNORMAL.DIST_Example 1" sheetId="873" state="hidden" r:id="rId723"/>
    <sheet name="LOGNORMAL.DIST_Example 2" sheetId="874" state="hidden" r:id="rId724"/>
    <sheet name="LOGNORMAL.DIST_Example 3" sheetId="875" state="hidden" r:id="rId725"/>
    <sheet name="LOGNORMAL.DIST_FAQ" sheetId="876" state="hidden" r:id="rId726"/>
    <sheet name="Tally_Example" sheetId="877" state="hidden" r:id="rId727"/>
    <sheet name="Tally_Use" sheetId="878" state="hidden" r:id="rId728"/>
    <sheet name="Tally_Example 1" sheetId="879" state="hidden" r:id="rId729"/>
    <sheet name="Tally_Example 2" sheetId="880" state="hidden" r:id="rId730"/>
    <sheet name="Tally_Example 3" sheetId="881" state="hidden" r:id="rId731"/>
    <sheet name="Tally_FAQ" sheetId="882" state="hidden" r:id="rId732"/>
    <sheet name="Bubble_Example" sheetId="883" state="hidden" r:id="rId733"/>
    <sheet name="Bubble_Create" sheetId="885" state="hidden" r:id="rId734"/>
    <sheet name="Bubble_Example 1" sheetId="886" state="hidden" r:id="rId735"/>
    <sheet name="Bubble_Example 2" sheetId="887" state="hidden" r:id="rId736"/>
    <sheet name="Bubble_FAQ" sheetId="888" state="hidden" r:id="rId737"/>
    <sheet name="ExcelMojo" sheetId="898" r:id="rId738"/>
    <sheet name="CovMat_Example" sheetId="889" r:id="rId739"/>
    <sheet name="CovMat_Use" sheetId="894" r:id="rId740"/>
    <sheet name="CovMat_Example 1" sheetId="895" r:id="rId741"/>
    <sheet name="CovMat_Example 2" sheetId="896" r:id="rId742"/>
    <sheet name="CovMat_Example 3" sheetId="893" r:id="rId743"/>
    <sheet name="CovMat_FAQ" sheetId="897" r:id="rId744"/>
    <sheet name="Master Worksheet" sheetId="506" state="hidden" r:id="rId745"/>
    <sheet name="Rough" sheetId="37" state="hidden" r:id="rId746"/>
    <sheet name="Array_FAQ" sheetId="14" state="hidden" r:id="rId747"/>
  </sheets>
  <definedNames>
    <definedName name="_xlnm._FilterDatabase" localSheetId="144" hidden="1">'AGG_Example 3'!$A$1:$N$21</definedName>
    <definedName name="_xlnm._FilterDatabase" localSheetId="677" hidden="1">Chart_Scatter!$A$1:$C$11</definedName>
    <definedName name="_xlnm._FilterDatabase" localSheetId="497" hidden="1">DMAX_Example!$A$3:$D$10</definedName>
    <definedName name="_xlnm._FilterDatabase" localSheetId="499" hidden="1">'DMAX_Example 1'!$A$3:$E$18</definedName>
    <definedName name="_xlnm._FilterDatabase" localSheetId="500" hidden="1">'DMAX_Example 2'!$A$3:$J$11</definedName>
    <definedName name="_xlnm._FilterDatabase" localSheetId="498" hidden="1">DMAX_Use!$A$3:$M$15</definedName>
    <definedName name="_xlnm._FilterDatabase" localSheetId="88" hidden="1">FREQ_Example2!$A$1:$B$16</definedName>
    <definedName name="_xlnm._FilterDatabase" localSheetId="481" hidden="1">'HYPERLINK_Example 3'!$A$1:$F$11</definedName>
    <definedName name="_xlnm._FilterDatabase" localSheetId="119" hidden="1">'MEDIAN_Example 3'!$A$1:$D$21</definedName>
    <definedName name="_xlnm._FilterDatabase" localSheetId="211" hidden="1">'MODE_Example 2'!$A$1:$B$16</definedName>
    <definedName name="_xlnm._FilterDatabase" localSheetId="44" hidden="1">'Pareto Chart_ Create_1'!$A$1:$C$1</definedName>
    <definedName name="_xlnm._FilterDatabase" localSheetId="245" hidden="1">PERCENTILE_FAQ2!$A$1:$H$11</definedName>
    <definedName name="_xlnm._FilterDatabase" localSheetId="131" hidden="1">'PMT Example 3'!$A$6:$E$14</definedName>
    <definedName name="_xlnm._FilterDatabase" localSheetId="137" hidden="1">'ROW_Example 3'!$A$1:$C$21</definedName>
    <definedName name="_xlnm._FilterDatabase" localSheetId="669" hidden="1">'SP_MC_Example 3'!$A$1:$D$11</definedName>
    <definedName name="_xlnm._FilterDatabase" localSheetId="670" hidden="1">SP_MC_FAQ!$A$1:$C$11</definedName>
    <definedName name="_xlnm._FilterDatabase" localSheetId="367" hidden="1">SUMIF_Mult_Example!$A$1:$I$11</definedName>
    <definedName name="_xlnm._FilterDatabase" localSheetId="369" hidden="1">'SUMIF_Mult_Example 1'!$A$1:$F$9</definedName>
    <definedName name="_xlnm._FilterDatabase" localSheetId="370" hidden="1">'SUMIF_Mult_Example 2'!$A$1:$F$11</definedName>
    <definedName name="_xlnm._FilterDatabase" localSheetId="371" hidden="1">'SUMIF_Mult_Example 3'!$A$1:$G$11</definedName>
    <definedName name="_xlnm._FilterDatabase" localSheetId="368" hidden="1">SUMIF_Mult_Use!$A$1:$E$10</definedName>
    <definedName name="_xlnm._FilterDatabase" localSheetId="374" hidden="1">'SUMIFS_Mult_Example 2'!$A$1:$E$11</definedName>
    <definedName name="_xlnm._FilterDatabase" localSheetId="375" hidden="1">'SUMIFS_Mult_Example 3'!$A$1:$D$11</definedName>
    <definedName name="_xlnm._FilterDatabase" localSheetId="372" hidden="1">SUMIFS_Mult_Use!$A$1:$G$11</definedName>
    <definedName name="_xlchart.v1.10" hidden="1">'Pareto Chart_Example'!$B$1</definedName>
    <definedName name="_xlchart.v1.11" hidden="1">'Pareto Chart_Example'!$B$2:$B$6</definedName>
    <definedName name="_xlchart.v1.12" hidden="1">'Pareto Chart_Create'!$A$2:$A$7</definedName>
    <definedName name="_xlchart.v1.13" hidden="1">'Pareto Chart_Create'!$B$1</definedName>
    <definedName name="_xlchart.v1.14" hidden="1">'Pareto Chart_Create'!$B$2:$B$7</definedName>
    <definedName name="_xlchart.v1.27" hidden="1">Chart_Histogram!$A$1</definedName>
    <definedName name="_xlchart.v1.28" hidden="1">Chart_Histogram!$A$2:$A$11</definedName>
    <definedName name="_xlchart.v1.29" hidden="1">Chart_Waterfall!$A$2:$A$7</definedName>
    <definedName name="_xlchart.v1.3" hidden="1">'Waterfall Chart_Create'!$A$2:$A$8</definedName>
    <definedName name="_xlchart.v1.30" hidden="1">Chart_Waterfall!$B$1</definedName>
    <definedName name="_xlchart.v1.31" hidden="1">Chart_Waterfall!$B$2:$B$7</definedName>
    <definedName name="_xlchart.v1.4" hidden="1">'Waterfall Chart_Create'!$B$1</definedName>
    <definedName name="_xlchart.v1.5" hidden="1">'Waterfall Chart_Create'!$B$2:$B$8</definedName>
    <definedName name="_xlchart.v1.6" hidden="1">'Waterfall Chart_Example 1'!$A$2:$A$7</definedName>
    <definedName name="_xlchart.v1.7" hidden="1">'Waterfall Chart_Example 1'!$B$1</definedName>
    <definedName name="_xlchart.v1.8" hidden="1">'Waterfall Chart_Example 1'!$B$2:$B$7</definedName>
    <definedName name="_xlchart.v1.9" hidden="1">'Pareto Chart_Example'!$A$2:$A$6</definedName>
    <definedName name="_xlchart.v2.15" hidden="1">Funnel_Example!$A$3:$A$8</definedName>
    <definedName name="_xlchart.v2.16" hidden="1">Funnel_Example!$B$1:$B$2</definedName>
    <definedName name="_xlchart.v2.17" hidden="1">Funnel_Example!$B$3:$B$8</definedName>
    <definedName name="_xlchart.v2.18" hidden="1">Funnel_Use!$A$4:$A$8</definedName>
    <definedName name="_xlchart.v2.19" hidden="1">Funnel_Use!$B$3</definedName>
    <definedName name="_xlchart.v2.20" hidden="1">Funnel_Use!$B$4:$B$8</definedName>
    <definedName name="_xlchart.v2.21" hidden="1">'Funnel_Example 1'!$A$4:$A$8</definedName>
    <definedName name="_xlchart.v2.22" hidden="1">'Funnel_Example 1'!$B$3</definedName>
    <definedName name="_xlchart.v2.23" hidden="1">'Funnel_Example 1'!$B$4:$B$8</definedName>
    <definedName name="_xlchart.v2.24" hidden="1">'Funnel_Example 2'!$A$3:$A$7</definedName>
    <definedName name="_xlchart.v2.25" hidden="1">'Funnel_Example 2'!$B$1:$B$2</definedName>
    <definedName name="_xlchart.v2.26" hidden="1">'Funnel_Example 2'!$B$3:$B$7</definedName>
    <definedName name="_xlchart.v5.0" hidden="1">'Waterfall Chart_Example'!$A$2:$A$7</definedName>
    <definedName name="_xlchart.v5.1" hidden="1">'Waterfall Chart_Example'!$B$1</definedName>
    <definedName name="_xlchart.v5.2" hidden="1">'Waterfall Chart_Example'!$B$2:$B$7</definedName>
    <definedName name="EMP_Name">'Name Box_Edit'!$A$2:$A$12</definedName>
    <definedName name="Laptop_Order_Data">'DMAX_Example 1'!$A$3:$E$18</definedName>
    <definedName name="Name_List">'Name Box_Example'!$A$2:$A$6</definedName>
    <definedName name="_xlnm.Print_Area" localSheetId="607">Page_FAQ!$A$1:$D$5</definedName>
    <definedName name="_xlnm.Print_Area" localSheetId="14">'Show Formula_Print'!$A$1:$B$16</definedName>
    <definedName name="Slicer_Designation">#N/A</definedName>
  </definedNames>
  <calcPr calcId="191029"/>
  <pivotCaches>
    <pivotCache cacheId="0" r:id="rId748"/>
    <pivotCache cacheId="1" r:id="rId749"/>
    <pivotCache cacheId="2" r:id="rId750"/>
    <pivotCache cacheId="3" r:id="rId751"/>
    <pivotCache cacheId="4" r:id="rId752"/>
    <pivotCache cacheId="10" r:id="rId753"/>
  </pivotCaches>
  <extLst>
    <ext xmlns:x14="http://schemas.microsoft.com/office/spreadsheetml/2009/9/main" uri="{BBE1A952-AA13-448e-AADC-164F8A28A991}">
      <x14:slicerCaches>
        <x14:slicerCache r:id="rId75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897" l="1"/>
  <c r="H15" i="897"/>
  <c r="G15" i="897"/>
  <c r="I6" i="897"/>
  <c r="H5" i="897"/>
  <c r="G4" i="897"/>
  <c r="G4" i="893" l="1"/>
  <c r="J7" i="893" s="1"/>
  <c r="G3" i="893"/>
  <c r="I7" i="893" s="1"/>
  <c r="G2" i="893"/>
  <c r="H5" i="893" s="1"/>
  <c r="D14" i="893"/>
  <c r="C13" i="893"/>
  <c r="B12" i="893"/>
  <c r="M4" i="896"/>
  <c r="L3" i="896"/>
  <c r="I6" i="895"/>
  <c r="H5" i="895"/>
  <c r="G4" i="895"/>
  <c r="I6" i="894"/>
  <c r="H5" i="894"/>
  <c r="G4" i="894"/>
  <c r="H6" i="893" l="1"/>
  <c r="H7" i="893"/>
  <c r="I3" i="893"/>
  <c r="I4" i="893"/>
  <c r="I6" i="893"/>
  <c r="I5" i="893"/>
  <c r="J3" i="893"/>
  <c r="J4" i="893"/>
  <c r="H3" i="893"/>
  <c r="J5" i="893"/>
  <c r="H4" i="893"/>
  <c r="J6" i="893"/>
  <c r="B11" i="897"/>
  <c r="G11" i="897" s="1" a="1"/>
  <c r="G11" i="897" l="1"/>
  <c r="I11" i="897"/>
  <c r="H13" i="897"/>
  <c r="H11" i="897"/>
  <c r="G12" i="897"/>
  <c r="I13" i="897"/>
  <c r="H12" i="897"/>
  <c r="I12" i="897"/>
  <c r="G13" i="897"/>
  <c r="H12" i="893"/>
  <c r="J14" i="893"/>
  <c r="H14" i="893"/>
  <c r="J12" i="893"/>
  <c r="I13" i="893"/>
  <c r="J13" i="893"/>
  <c r="H13" i="893"/>
  <c r="I12" i="893"/>
  <c r="I14" i="893"/>
  <c r="K7" i="889"/>
  <c r="J6" i="889"/>
  <c r="I5" i="889"/>
  <c r="H4" i="889"/>
  <c r="D7" i="882" l="1"/>
  <c r="D8" i="882"/>
  <c r="D9" i="882"/>
  <c r="D6" i="882"/>
  <c r="C7" i="882"/>
  <c r="C8" i="882"/>
  <c r="C9" i="882"/>
  <c r="C6" i="882"/>
  <c r="D7" i="881"/>
  <c r="D8" i="881"/>
  <c r="D9" i="881"/>
  <c r="D10" i="881"/>
  <c r="D6" i="881"/>
  <c r="C7" i="881"/>
  <c r="C8" i="881"/>
  <c r="C9" i="881"/>
  <c r="C10" i="881"/>
  <c r="C6" i="881"/>
  <c r="D7" i="880"/>
  <c r="D8" i="880"/>
  <c r="D9" i="880"/>
  <c r="D6" i="880"/>
  <c r="C7" i="880"/>
  <c r="C8" i="880"/>
  <c r="C9" i="880"/>
  <c r="C6" i="880"/>
  <c r="D7" i="879"/>
  <c r="D8" i="879"/>
  <c r="D9" i="879"/>
  <c r="D6" i="879"/>
  <c r="C7" i="879"/>
  <c r="C8" i="879"/>
  <c r="C9" i="879"/>
  <c r="C6" i="879"/>
  <c r="C6" i="878" l="1"/>
  <c r="D6" i="878"/>
  <c r="C7" i="878"/>
  <c r="D7" i="878"/>
  <c r="C8" i="878"/>
  <c r="D8" i="878"/>
  <c r="C9" i="878"/>
  <c r="D9" i="878"/>
  <c r="D7" i="877" l="1"/>
  <c r="D8" i="877"/>
  <c r="D9" i="877"/>
  <c r="D10" i="877"/>
  <c r="D6" i="877"/>
  <c r="C7" i="877"/>
  <c r="C8" i="877"/>
  <c r="C9" i="877"/>
  <c r="C10" i="877"/>
  <c r="C6" i="877"/>
  <c r="E8" i="874" l="1"/>
  <c r="E7" i="874"/>
  <c r="C12" i="875" l="1"/>
  <c r="C3" i="875"/>
  <c r="C4" i="875"/>
  <c r="C5" i="875"/>
  <c r="C15" i="875" s="1"/>
  <c r="C6" i="875"/>
  <c r="C7" i="875"/>
  <c r="C8" i="875"/>
  <c r="C9" i="875"/>
  <c r="C10" i="875"/>
  <c r="C11" i="875"/>
  <c r="C2" i="875"/>
  <c r="C14" i="875" s="1"/>
  <c r="E8" i="873"/>
  <c r="C8" i="872"/>
  <c r="B8" i="868"/>
  <c r="B7" i="868"/>
  <c r="F3" i="875" l="1"/>
  <c r="F7" i="875"/>
  <c r="F11" i="875"/>
  <c r="F4" i="875"/>
  <c r="F8" i="875"/>
  <c r="F12" i="875"/>
  <c r="F6" i="875"/>
  <c r="F5" i="875"/>
  <c r="F9" i="875"/>
  <c r="F2" i="875"/>
  <c r="F10" i="875"/>
  <c r="G4" i="867"/>
  <c r="G5" i="867"/>
  <c r="G6" i="867"/>
  <c r="G3" i="867"/>
  <c r="F4" i="867"/>
  <c r="F5" i="867"/>
  <c r="F6" i="867"/>
  <c r="F3" i="867"/>
  <c r="E4" i="850" l="1"/>
  <c r="E5" i="850"/>
  <c r="E6" i="850"/>
  <c r="E7" i="850"/>
  <c r="E8" i="850"/>
  <c r="D5" i="850"/>
  <c r="D6" i="850"/>
  <c r="D7" i="850"/>
  <c r="D8" i="850"/>
  <c r="D4" i="850"/>
  <c r="C5" i="849"/>
  <c r="D5" i="849" s="1"/>
  <c r="C6" i="849"/>
  <c r="D6" i="849" s="1"/>
  <c r="C7" i="849"/>
  <c r="D7" i="849" s="1"/>
  <c r="C8" i="849"/>
  <c r="D8" i="849" s="1"/>
  <c r="C4" i="849"/>
  <c r="D4" i="849" s="1"/>
  <c r="D5" i="848"/>
  <c r="D6" i="848"/>
  <c r="D7" i="848"/>
  <c r="D8" i="848"/>
  <c r="D4" i="848"/>
  <c r="C3" i="847"/>
  <c r="C4" i="847"/>
  <c r="C5" i="847"/>
  <c r="C6" i="847"/>
  <c r="C7" i="847"/>
  <c r="B2" i="846"/>
  <c r="B3" i="846"/>
  <c r="B4" i="846"/>
  <c r="B5" i="846"/>
  <c r="B6" i="846"/>
  <c r="C7" i="842" l="1"/>
  <c r="C8" i="842"/>
  <c r="C9" i="842"/>
  <c r="C10" i="842"/>
  <c r="C11" i="842"/>
  <c r="C12" i="842"/>
  <c r="C13" i="842"/>
  <c r="C14" i="842"/>
  <c r="C15" i="842"/>
  <c r="C6" i="842"/>
  <c r="D7" i="845"/>
  <c r="D8" i="845" s="1"/>
  <c r="C3" i="844" l="1"/>
  <c r="C5" i="844" s="1"/>
  <c r="C7" i="844"/>
  <c r="C7" i="843"/>
  <c r="D14" i="842"/>
  <c r="B7" i="842"/>
  <c r="D7" i="842" s="1"/>
  <c r="B8" i="842"/>
  <c r="D8" i="842" s="1"/>
  <c r="B9" i="842"/>
  <c r="D9" i="842" s="1"/>
  <c r="B10" i="842"/>
  <c r="D10" i="842" s="1"/>
  <c r="B11" i="842"/>
  <c r="D11" i="842" s="1"/>
  <c r="B12" i="842"/>
  <c r="D12" i="842" s="1"/>
  <c r="B13" i="842"/>
  <c r="D13" i="842" s="1"/>
  <c r="B14" i="842"/>
  <c r="B15" i="842"/>
  <c r="D15" i="842" s="1"/>
  <c r="B6" i="842"/>
  <c r="D6" i="842" s="1"/>
  <c r="D7" i="841" l="1"/>
  <c r="D5" i="841"/>
  <c r="B6" i="839"/>
  <c r="C6" i="839"/>
  <c r="D6" i="839" s="1"/>
  <c r="B7" i="839"/>
  <c r="C7" i="839"/>
  <c r="B8" i="839"/>
  <c r="C8" i="839"/>
  <c r="B9" i="839"/>
  <c r="C9" i="839"/>
  <c r="B10" i="839"/>
  <c r="C10" i="839"/>
  <c r="B11" i="839"/>
  <c r="D11" i="839" s="1"/>
  <c r="C11" i="839"/>
  <c r="B12" i="839"/>
  <c r="C12" i="839"/>
  <c r="D12" i="839" s="1"/>
  <c r="B13" i="839"/>
  <c r="C13" i="839"/>
  <c r="B14" i="839"/>
  <c r="C14" i="839"/>
  <c r="B15" i="839"/>
  <c r="C15" i="839"/>
  <c r="D15" i="839" l="1"/>
  <c r="D9" i="839"/>
  <c r="D13" i="839"/>
  <c r="D7" i="839"/>
  <c r="D9" i="841"/>
  <c r="D14" i="839"/>
  <c r="D10" i="839"/>
  <c r="D8" i="839"/>
  <c r="B23" i="837"/>
  <c r="B22" i="837"/>
  <c r="B21" i="837"/>
  <c r="B20" i="837"/>
  <c r="B19" i="837"/>
  <c r="B18" i="837"/>
  <c r="B17" i="837"/>
  <c r="B16" i="837"/>
  <c r="B15" i="837"/>
  <c r="B14" i="837"/>
  <c r="B13" i="837"/>
  <c r="B12" i="837"/>
  <c r="B11" i="837"/>
  <c r="B10" i="837"/>
  <c r="B9" i="837"/>
  <c r="B8" i="837"/>
  <c r="B9" i="836"/>
  <c r="B10" i="836"/>
  <c r="B11" i="836"/>
  <c r="B12" i="836"/>
  <c r="B13" i="836"/>
  <c r="B14" i="836"/>
  <c r="B15" i="836"/>
  <c r="B16" i="836"/>
  <c r="B17" i="836"/>
  <c r="B18" i="836"/>
  <c r="B19" i="836"/>
  <c r="B20" i="836"/>
  <c r="B21" i="836"/>
  <c r="B22" i="836"/>
  <c r="B23" i="836"/>
  <c r="B8" i="836"/>
  <c r="D9" i="835"/>
  <c r="C9" i="833"/>
  <c r="D9" i="834"/>
  <c r="B7" i="831"/>
  <c r="E2" i="829" l="1"/>
  <c r="E1" i="829"/>
  <c r="D4" i="828" l="1"/>
  <c r="D3" i="828"/>
  <c r="E4" i="827"/>
  <c r="D2" i="826"/>
  <c r="D1" i="824"/>
  <c r="B16" i="812" l="1"/>
  <c r="I3" i="809"/>
  <c r="G3" i="811" l="1" a="1"/>
  <c r="G3" i="811" s="1"/>
  <c r="F3" i="810" l="1"/>
  <c r="B14" i="808" l="1"/>
  <c r="C12" i="806"/>
  <c r="C6" i="801" l="1"/>
  <c r="C9" i="801"/>
  <c r="C3" i="803" l="1"/>
  <c r="C4" i="802"/>
  <c r="C5" i="802"/>
  <c r="C6" i="802"/>
  <c r="C7" i="802"/>
  <c r="C3" i="802"/>
  <c r="C11" i="803" l="1"/>
  <c r="C9" i="803"/>
  <c r="C3" i="801" l="1"/>
  <c r="C2" i="800"/>
  <c r="C3" i="800"/>
  <c r="C4" i="800"/>
  <c r="D3" i="798" l="1"/>
  <c r="D4" i="798"/>
  <c r="D5" i="798"/>
  <c r="D6" i="798"/>
  <c r="D2" i="798"/>
  <c r="E4" i="796"/>
  <c r="E5" i="796"/>
  <c r="E6" i="796"/>
  <c r="E7" i="796"/>
  <c r="E3" i="796"/>
  <c r="E3" i="797"/>
  <c r="F3" i="797" s="1"/>
  <c r="E4" i="797"/>
  <c r="F4" i="797" s="1"/>
  <c r="E5" i="797"/>
  <c r="F5" i="797" s="1"/>
  <c r="E6" i="797"/>
  <c r="F6" i="797" s="1"/>
  <c r="E2" i="797"/>
  <c r="F2" i="797" s="1"/>
  <c r="H6" i="795" l="1"/>
  <c r="G3" i="795"/>
  <c r="H3" i="795" s="1"/>
  <c r="G4" i="795"/>
  <c r="H4" i="795" s="1"/>
  <c r="G5" i="795"/>
  <c r="H5" i="795" s="1"/>
  <c r="G6" i="795"/>
  <c r="G7" i="795"/>
  <c r="H7" i="795" s="1"/>
  <c r="G8" i="795"/>
  <c r="H8" i="795" s="1"/>
  <c r="G9" i="795"/>
  <c r="H9" i="795" s="1"/>
  <c r="G10" i="795"/>
  <c r="H10" i="795" s="1"/>
  <c r="G11" i="795"/>
  <c r="H11" i="795" s="1"/>
  <c r="G2" i="795"/>
  <c r="H2" i="795" s="1"/>
  <c r="C4" i="794"/>
  <c r="C5" i="794" s="1"/>
  <c r="C4" i="788" l="1"/>
  <c r="C5" i="788"/>
  <c r="C6" i="788"/>
  <c r="C7" i="788"/>
  <c r="C3" i="788"/>
  <c r="C4" i="793" l="1"/>
  <c r="C5" i="793"/>
  <c r="C6" i="793"/>
  <c r="C7" i="793"/>
  <c r="C3" i="793"/>
  <c r="C3" i="792"/>
  <c r="C8" i="791"/>
  <c r="C7" i="791"/>
  <c r="C6" i="791"/>
  <c r="C5" i="791"/>
  <c r="C8" i="790"/>
  <c r="C9" i="790" s="1"/>
  <c r="C7" i="790"/>
  <c r="C3" i="789"/>
  <c r="E3" i="789" s="1"/>
  <c r="C4" i="789"/>
  <c r="E4" i="789" s="1"/>
  <c r="C5" i="789"/>
  <c r="E5" i="789" s="1"/>
  <c r="C6" i="789"/>
  <c r="E6" i="789" s="1"/>
  <c r="B2" i="786" l="1"/>
  <c r="B3" i="786"/>
  <c r="B4" i="786"/>
  <c r="B5" i="786"/>
  <c r="D3" i="785" l="1"/>
  <c r="D4" i="785"/>
  <c r="D5" i="785"/>
  <c r="D6" i="785"/>
  <c r="D7" i="785"/>
  <c r="D8" i="785"/>
  <c r="D9" i="785"/>
  <c r="D10" i="785"/>
  <c r="D11" i="785"/>
  <c r="D2" i="785"/>
  <c r="D2" i="779" l="1"/>
  <c r="D3" i="784"/>
  <c r="D4" i="784"/>
  <c r="D5" i="784"/>
  <c r="D6" i="784"/>
  <c r="D7" i="784"/>
  <c r="D8" i="784"/>
  <c r="D9" i="784"/>
  <c r="D10" i="784"/>
  <c r="D11" i="784"/>
  <c r="D2" i="784"/>
  <c r="E3" i="783"/>
  <c r="E4" i="783"/>
  <c r="E5" i="783"/>
  <c r="E6" i="783"/>
  <c r="E7" i="783"/>
  <c r="E8" i="783"/>
  <c r="E9" i="783"/>
  <c r="E10" i="783"/>
  <c r="E11" i="783"/>
  <c r="E2" i="783"/>
  <c r="C2" i="782"/>
  <c r="C3" i="782"/>
  <c r="C4" i="782"/>
  <c r="C5" i="782"/>
  <c r="C6" i="782"/>
  <c r="C7" i="782"/>
  <c r="E3" i="781"/>
  <c r="E4" i="781"/>
  <c r="E5" i="781"/>
  <c r="E6" i="781"/>
  <c r="E7" i="781"/>
  <c r="E2" i="781"/>
  <c r="D3" i="779"/>
  <c r="D4" i="779"/>
  <c r="D5" i="779"/>
  <c r="D6" i="779"/>
  <c r="D7" i="779"/>
  <c r="D4" i="778" l="1"/>
  <c r="D5" i="778"/>
  <c r="D6" i="778"/>
  <c r="D7" i="778"/>
  <c r="D3" i="778"/>
  <c r="D3" i="776"/>
  <c r="D4" i="776"/>
  <c r="D5" i="776"/>
  <c r="D6" i="776"/>
  <c r="D2" i="776"/>
  <c r="C6" i="775"/>
  <c r="C3" i="775"/>
  <c r="C4" i="775"/>
  <c r="C5" i="775"/>
  <c r="C2" i="775"/>
  <c r="C3" i="774"/>
  <c r="C4" i="774"/>
  <c r="C5" i="774"/>
  <c r="C6" i="774"/>
  <c r="C7" i="774"/>
  <c r="C8" i="774"/>
  <c r="C9" i="774"/>
  <c r="C10" i="774"/>
  <c r="C11" i="774"/>
  <c r="C2" i="774"/>
  <c r="T4" i="775" l="1"/>
  <c r="T5" i="775"/>
  <c r="T6" i="775"/>
  <c r="T3" i="775"/>
  <c r="T2" i="775"/>
  <c r="B3" i="773" l="1"/>
  <c r="B4" i="773"/>
  <c r="B5" i="773"/>
  <c r="B6" i="773"/>
  <c r="B2" i="773"/>
  <c r="B2" i="772"/>
  <c r="B3" i="772"/>
  <c r="B4" i="772"/>
  <c r="B5" i="772"/>
  <c r="B6" i="772"/>
  <c r="B7" i="772"/>
  <c r="B2" i="764" l="1"/>
  <c r="B3" i="764"/>
  <c r="B4" i="764"/>
  <c r="B5" i="764"/>
  <c r="B6" i="764"/>
  <c r="B7" i="764"/>
  <c r="B3" i="770" l="1"/>
  <c r="B4" i="770"/>
  <c r="B5" i="770"/>
  <c r="B6" i="770"/>
  <c r="B2" i="770"/>
  <c r="C11" i="769"/>
  <c r="C12" i="769"/>
  <c r="C13" i="769"/>
  <c r="C14" i="769"/>
  <c r="C15" i="769"/>
  <c r="C16" i="769"/>
  <c r="C17" i="769"/>
  <c r="C18" i="769"/>
  <c r="C19" i="769"/>
  <c r="C20" i="769"/>
  <c r="C21" i="769"/>
  <c r="C22" i="769"/>
  <c r="C23" i="769"/>
  <c r="C24" i="769"/>
  <c r="C25" i="769"/>
  <c r="C26" i="769"/>
  <c r="C27" i="769"/>
  <c r="C28" i="769"/>
  <c r="C29" i="769"/>
  <c r="C30" i="769"/>
  <c r="C31" i="769"/>
  <c r="C32" i="769"/>
  <c r="C33" i="769"/>
  <c r="C34" i="769"/>
  <c r="C35" i="769"/>
  <c r="C36" i="769"/>
  <c r="C37" i="769"/>
  <c r="C38" i="769"/>
  <c r="C39" i="769"/>
  <c r="C40" i="769"/>
  <c r="C41" i="769"/>
  <c r="C6" i="768"/>
  <c r="C7" i="768"/>
  <c r="C8" i="768"/>
  <c r="B5" i="768"/>
  <c r="C5" i="768" s="1"/>
  <c r="B4" i="768"/>
  <c r="C4" i="768" s="1"/>
  <c r="B3" i="768"/>
  <c r="C3" i="768" s="1"/>
  <c r="B2" i="768"/>
  <c r="C2" i="768" s="1"/>
  <c r="C4" i="767" l="1"/>
  <c r="C5" i="767"/>
  <c r="C6" i="767"/>
  <c r="C7" i="767"/>
  <c r="C3" i="767"/>
  <c r="C4" i="766"/>
  <c r="C5" i="766"/>
  <c r="C6" i="766"/>
  <c r="C7" i="766"/>
  <c r="C8" i="766"/>
  <c r="C3" i="766"/>
  <c r="F3" i="754" l="1"/>
  <c r="C20" i="755"/>
  <c r="C19" i="755"/>
  <c r="C18" i="755"/>
  <c r="C17" i="755"/>
  <c r="C4" i="756" l="1"/>
  <c r="C5" i="756"/>
  <c r="C6" i="756"/>
  <c r="C11" i="756" s="1"/>
  <c r="C7" i="756"/>
  <c r="C8" i="756"/>
  <c r="C3" i="756"/>
  <c r="E2" i="753" l="1"/>
  <c r="C10" i="751"/>
  <c r="B13" i="750" l="1"/>
  <c r="B14" i="750" s="1"/>
  <c r="B9" i="750"/>
  <c r="B10" i="750" s="1"/>
  <c r="B7" i="743"/>
  <c r="B7" i="745"/>
  <c r="I3" i="749"/>
  <c r="I5" i="749"/>
  <c r="I7" i="749" s="1"/>
  <c r="I8" i="749" s="1"/>
  <c r="C12" i="748" l="1"/>
  <c r="C11" i="748"/>
  <c r="C10" i="748"/>
  <c r="E4" i="746"/>
  <c r="E7" i="746" s="1"/>
  <c r="E3" i="746"/>
  <c r="E8" i="746" l="1"/>
  <c r="C14" i="709"/>
  <c r="D9" i="711" l="1"/>
  <c r="D8" i="711"/>
  <c r="B8" i="707"/>
  <c r="B13" i="710"/>
  <c r="F5" i="708"/>
  <c r="F6" i="708" s="1"/>
  <c r="F4" i="708"/>
  <c r="F3" i="708"/>
  <c r="N10" i="708"/>
  <c r="N9" i="708"/>
  <c r="N8" i="708"/>
  <c r="F9" i="708" l="1"/>
  <c r="F7" i="708"/>
  <c r="N12" i="708"/>
  <c r="N14" i="708"/>
  <c r="N11" i="708"/>
  <c r="F10" i="708" l="1"/>
  <c r="N15" i="708"/>
  <c r="B13" i="706"/>
  <c r="B13" i="704" l="1"/>
  <c r="D2" i="697" l="1"/>
  <c r="D3" i="697"/>
  <c r="D4" i="697"/>
  <c r="D5" i="697"/>
  <c r="C2" i="703"/>
  <c r="D4" i="702" l="1"/>
  <c r="D2" i="702"/>
  <c r="D3" i="702"/>
  <c r="E3" i="701" l="1"/>
  <c r="F3" i="701"/>
  <c r="E4" i="701"/>
  <c r="F4" i="701"/>
  <c r="E5" i="701"/>
  <c r="F5" i="701"/>
  <c r="E6" i="701"/>
  <c r="F6" i="701"/>
  <c r="F2" i="701"/>
  <c r="E2" i="701"/>
  <c r="D3" i="701"/>
  <c r="D4" i="701"/>
  <c r="D5" i="701"/>
  <c r="D6" i="701"/>
  <c r="D2" i="701"/>
  <c r="D2" i="700" l="1"/>
  <c r="B5" i="700"/>
  <c r="C5" i="700"/>
  <c r="A5" i="700"/>
  <c r="D2" i="699"/>
  <c r="B7" i="698"/>
  <c r="F4" i="692" l="1"/>
  <c r="F3" i="692"/>
  <c r="F4" i="690"/>
  <c r="F5" i="690"/>
  <c r="F6" i="690"/>
  <c r="F7" i="690"/>
  <c r="F8" i="690"/>
  <c r="F3" i="690"/>
  <c r="E4" i="695"/>
  <c r="E5" i="695"/>
  <c r="E6" i="695"/>
  <c r="E7" i="695"/>
  <c r="E3" i="695"/>
  <c r="C12" i="689"/>
  <c r="C13" i="689"/>
  <c r="C14" i="689"/>
  <c r="C15" i="689"/>
  <c r="C11" i="689"/>
  <c r="E4" i="688"/>
  <c r="F4" i="688"/>
  <c r="E5" i="688"/>
  <c r="F5" i="688"/>
  <c r="E6" i="688"/>
  <c r="F6" i="688"/>
  <c r="E7" i="688"/>
  <c r="F7" i="688"/>
  <c r="E8" i="688"/>
  <c r="F8" i="688"/>
  <c r="E9" i="688"/>
  <c r="F9" i="688"/>
  <c r="E10" i="688"/>
  <c r="F10" i="688"/>
  <c r="E11" i="688"/>
  <c r="F11" i="688"/>
  <c r="E12" i="688"/>
  <c r="F12" i="688"/>
  <c r="F3" i="688"/>
  <c r="E3" i="688"/>
  <c r="D2" i="687"/>
  <c r="D3" i="687"/>
  <c r="D4" i="687"/>
  <c r="D5" i="687"/>
  <c r="D6" i="687"/>
  <c r="E4" i="694"/>
  <c r="E5" i="694"/>
  <c r="E3" i="694"/>
  <c r="E4" i="693"/>
  <c r="E3" i="693"/>
  <c r="E5" i="693"/>
  <c r="E6" i="693"/>
  <c r="E7" i="693"/>
  <c r="E4" i="692"/>
  <c r="E3" i="692"/>
  <c r="E4" i="691"/>
  <c r="E5" i="691"/>
  <c r="E6" i="691"/>
  <c r="E7" i="691"/>
  <c r="E3" i="691"/>
  <c r="E4" i="690" l="1"/>
  <c r="E5" i="690"/>
  <c r="E6" i="690"/>
  <c r="E7" i="690"/>
  <c r="E8" i="690"/>
  <c r="E3" i="690"/>
  <c r="C4" i="685" l="1"/>
  <c r="C3" i="685"/>
  <c r="C2" i="685"/>
  <c r="B5" i="684"/>
  <c r="B4" i="684"/>
  <c r="B3" i="684"/>
  <c r="B2" i="684"/>
  <c r="B8" i="682" l="1"/>
  <c r="C4" i="680"/>
  <c r="C3" i="680"/>
  <c r="C2" i="680"/>
  <c r="B2" i="679"/>
  <c r="B3" i="679"/>
  <c r="B4" i="679"/>
  <c r="B5" i="679"/>
  <c r="B6" i="679"/>
  <c r="B3" i="677" l="1"/>
  <c r="C3" i="677"/>
  <c r="B4" i="677"/>
  <c r="C4" i="677"/>
  <c r="C2" i="677"/>
  <c r="B2" i="677"/>
  <c r="C26" i="672"/>
  <c r="C3" i="675" l="1"/>
  <c r="D3" i="675" s="1"/>
  <c r="C4" i="675"/>
  <c r="D4" i="675" s="1"/>
  <c r="C2" i="675"/>
  <c r="D2" i="675" s="1"/>
  <c r="D3" i="676"/>
  <c r="D2" i="676"/>
  <c r="C2" i="671" l="1"/>
  <c r="B2" i="678"/>
  <c r="B2" i="674"/>
  <c r="B3" i="674" l="1"/>
  <c r="B4" i="674"/>
  <c r="C25" i="672"/>
  <c r="C24" i="672"/>
  <c r="C23" i="672"/>
  <c r="C22" i="672"/>
  <c r="C21" i="672"/>
  <c r="C20" i="672"/>
  <c r="C17" i="672"/>
  <c r="C16" i="672"/>
  <c r="C15" i="672"/>
  <c r="C14" i="672"/>
  <c r="C13" i="672"/>
  <c r="C12" i="672"/>
  <c r="C11" i="672"/>
  <c r="C8" i="672"/>
  <c r="C7" i="672"/>
  <c r="C6" i="672"/>
  <c r="C5" i="672"/>
  <c r="C4" i="672"/>
  <c r="C3" i="672"/>
  <c r="C2" i="672"/>
  <c r="C3" i="671" l="1"/>
  <c r="C4" i="671"/>
  <c r="C5" i="670" l="1"/>
  <c r="D5" i="670"/>
  <c r="E5" i="670"/>
  <c r="F5" i="670"/>
  <c r="B5" i="670"/>
  <c r="D3" i="668" l="1"/>
  <c r="D2" i="668"/>
  <c r="C3" i="667"/>
  <c r="C2" i="667"/>
  <c r="F4" i="665"/>
  <c r="F5" i="665"/>
  <c r="F6" i="665"/>
  <c r="F7" i="665"/>
  <c r="F3" i="665"/>
  <c r="D4" i="665"/>
  <c r="D5" i="665"/>
  <c r="D6" i="665"/>
  <c r="D7" i="665"/>
  <c r="D3" i="665"/>
  <c r="D2" i="664" a="1"/>
  <c r="D2" i="664" s="1"/>
  <c r="D7" i="663"/>
  <c r="D6" i="663"/>
  <c r="D3" i="663"/>
  <c r="D2" i="663"/>
  <c r="D2" i="660"/>
  <c r="D3" i="660"/>
  <c r="D4" i="660"/>
  <c r="D5" i="660"/>
  <c r="D5" i="661"/>
  <c r="D4" i="661"/>
  <c r="D3" i="661"/>
  <c r="D2" i="661"/>
  <c r="D3" i="664" l="1"/>
  <c r="D5" i="664"/>
  <c r="D4" i="664"/>
  <c r="D6" i="664"/>
  <c r="B10" i="659"/>
  <c r="G10" i="659"/>
  <c r="D3" i="658"/>
  <c r="D4" i="658"/>
  <c r="D5" i="658"/>
  <c r="D6" i="658"/>
  <c r="D7" i="658"/>
  <c r="D8" i="658"/>
  <c r="D2" i="658"/>
  <c r="D2" i="657"/>
  <c r="D3" i="657"/>
  <c r="D4" i="657"/>
  <c r="D5" i="657"/>
  <c r="F4" i="656" l="1"/>
  <c r="G4" i="656"/>
  <c r="H4" i="656"/>
  <c r="F5" i="656"/>
  <c r="G5" i="656"/>
  <c r="H5" i="656"/>
  <c r="F6" i="656"/>
  <c r="G6" i="656"/>
  <c r="H6" i="656"/>
  <c r="D3" i="655"/>
  <c r="D4" i="655"/>
  <c r="D5" i="655"/>
  <c r="D6" i="655"/>
  <c r="D2" i="655"/>
  <c r="E6" i="654" l="1"/>
  <c r="D2" i="654"/>
  <c r="C5" i="653"/>
  <c r="C2" i="653"/>
  <c r="G5" i="652"/>
  <c r="G6" i="652"/>
  <c r="G7" i="652"/>
  <c r="G8" i="652"/>
  <c r="G4" i="652"/>
  <c r="D3" i="652"/>
  <c r="D4" i="652"/>
  <c r="D5" i="652"/>
  <c r="D6" i="652"/>
  <c r="D2" i="652"/>
  <c r="B9" i="651"/>
  <c r="B7" i="651"/>
  <c r="D3" i="650"/>
  <c r="D4" i="650"/>
  <c r="D5" i="650"/>
  <c r="D6" i="650"/>
  <c r="D7" i="650"/>
  <c r="D2" i="650"/>
  <c r="D2" i="649"/>
  <c r="D3" i="649"/>
  <c r="D4" i="649"/>
  <c r="D5" i="649"/>
  <c r="D6" i="649"/>
  <c r="B10" i="648" l="1"/>
  <c r="B10" i="645" l="1"/>
  <c r="C9" i="644"/>
  <c r="D9" i="644"/>
  <c r="B9" i="644"/>
  <c r="E3" i="643"/>
  <c r="E4" i="643"/>
  <c r="E5" i="643"/>
  <c r="E6" i="643"/>
  <c r="E7" i="643"/>
  <c r="E2" i="643"/>
  <c r="B10" i="642"/>
  <c r="B10" i="640"/>
  <c r="B3" i="636" l="1"/>
  <c r="B4" i="636"/>
  <c r="B5" i="636"/>
  <c r="B6" i="636"/>
  <c r="B2" i="636"/>
  <c r="F3" i="635"/>
  <c r="F4" i="635"/>
  <c r="F5" i="635"/>
  <c r="F6" i="635"/>
  <c r="F2" i="635"/>
  <c r="C8" i="634"/>
  <c r="C3" i="634"/>
  <c r="C4" i="634"/>
  <c r="C5" i="634"/>
  <c r="C6" i="634"/>
  <c r="C7" i="634"/>
  <c r="C2" i="634"/>
  <c r="B2" i="632"/>
  <c r="B3" i="632"/>
  <c r="B4" i="632"/>
  <c r="B5" i="632"/>
  <c r="B6" i="632"/>
  <c r="B7" i="632"/>
  <c r="C3" i="629" l="1"/>
  <c r="C4" i="629"/>
  <c r="C5" i="629"/>
  <c r="C6" i="629"/>
  <c r="C7" i="629"/>
  <c r="C8" i="629"/>
  <c r="C9" i="629"/>
  <c r="C10" i="629"/>
  <c r="C11" i="629"/>
  <c r="C2" i="629"/>
  <c r="G3" i="628"/>
  <c r="G4" i="628"/>
  <c r="G5" i="628"/>
  <c r="G6" i="628"/>
  <c r="G2" i="628"/>
  <c r="C3" i="627" l="1"/>
  <c r="C4" i="627"/>
  <c r="C5" i="627"/>
  <c r="C6" i="627"/>
  <c r="C7" i="627"/>
  <c r="C8" i="627"/>
  <c r="C2" i="627"/>
  <c r="B3" i="625"/>
  <c r="B4" i="625"/>
  <c r="B5" i="625"/>
  <c r="B6" i="625"/>
  <c r="B7" i="625"/>
  <c r="B2" i="625"/>
  <c r="B11" i="624" l="1"/>
  <c r="D4" i="624"/>
  <c r="D5" i="624"/>
  <c r="D6" i="624"/>
  <c r="D7" i="624"/>
  <c r="D3" i="624"/>
  <c r="B10" i="624" s="1"/>
  <c r="B12" i="624" s="1"/>
  <c r="L12" i="623"/>
  <c r="L13" i="623" s="1"/>
  <c r="E5" i="623"/>
  <c r="E6" i="623"/>
  <c r="E7" i="623"/>
  <c r="E8" i="623"/>
  <c r="C9" i="623"/>
  <c r="D9" i="623"/>
  <c r="E4" i="623"/>
  <c r="B9" i="623"/>
  <c r="B11" i="618"/>
  <c r="D4" i="618"/>
  <c r="D5" i="618"/>
  <c r="D6" i="618"/>
  <c r="D7" i="618"/>
  <c r="D3" i="618"/>
  <c r="B10" i="618" s="1"/>
  <c r="B12" i="618" s="1"/>
  <c r="E9" i="623" l="1"/>
  <c r="B14" i="623"/>
  <c r="C16" i="623"/>
  <c r="H16" i="623" s="1"/>
  <c r="D27" i="619"/>
  <c r="B28" i="619" s="1"/>
  <c r="C9" i="620"/>
  <c r="B9" i="620"/>
  <c r="D8" i="620"/>
  <c r="D7" i="620"/>
  <c r="D6" i="620"/>
  <c r="D5" i="620"/>
  <c r="D4" i="620"/>
  <c r="D5" i="619"/>
  <c r="D6" i="619"/>
  <c r="D7" i="619"/>
  <c r="D8" i="619"/>
  <c r="D4" i="619"/>
  <c r="C9" i="619"/>
  <c r="B9" i="619"/>
  <c r="G14" i="623" l="1"/>
  <c r="D14" i="623"/>
  <c r="I14" i="623" s="1"/>
  <c r="B15" i="623"/>
  <c r="G15" i="623" s="1"/>
  <c r="D17" i="623"/>
  <c r="I17" i="623" s="1"/>
  <c r="D15" i="623"/>
  <c r="I15" i="623" s="1"/>
  <c r="B16" i="623"/>
  <c r="G16" i="623" s="1"/>
  <c r="D16" i="623"/>
  <c r="I16" i="623" s="1"/>
  <c r="B17" i="623"/>
  <c r="G17" i="623" s="1"/>
  <c r="C17" i="623"/>
  <c r="H17" i="623" s="1"/>
  <c r="C15" i="623"/>
  <c r="H15" i="623" s="1"/>
  <c r="D9" i="620"/>
  <c r="C14" i="623"/>
  <c r="H14" i="623" s="1"/>
  <c r="C18" i="623"/>
  <c r="H18" i="623" s="1"/>
  <c r="D18" i="623"/>
  <c r="I18" i="623" s="1"/>
  <c r="B18" i="623"/>
  <c r="G18" i="623" s="1"/>
  <c r="D9" i="619"/>
  <c r="D11" i="610"/>
  <c r="L11" i="623" l="1"/>
  <c r="L14" i="623"/>
  <c r="C15" i="619"/>
  <c r="C23" i="619" s="1"/>
  <c r="C16" i="619"/>
  <c r="C24" i="619" s="1"/>
  <c r="B15" i="619"/>
  <c r="B23" i="619" s="1"/>
  <c r="C14" i="619"/>
  <c r="C22" i="619" s="1"/>
  <c r="B17" i="619"/>
  <c r="B25" i="619" s="1"/>
  <c r="C13" i="619"/>
  <c r="C21" i="619" s="1"/>
  <c r="B14" i="619"/>
  <c r="B22" i="619" s="1"/>
  <c r="C17" i="619"/>
  <c r="C25" i="619" s="1"/>
  <c r="B13" i="619"/>
  <c r="B16" i="619"/>
  <c r="B24" i="619" s="1"/>
  <c r="C8" i="617"/>
  <c r="D8" i="617"/>
  <c r="E8" i="617"/>
  <c r="B8" i="617"/>
  <c r="B11" i="617" s="1"/>
  <c r="A8" i="616"/>
  <c r="B9" i="615"/>
  <c r="B10" i="615" s="1"/>
  <c r="B8" i="613"/>
  <c r="D28" i="619" l="1"/>
  <c r="B21" i="619"/>
  <c r="B27" i="619" s="1"/>
  <c r="J3" i="612"/>
  <c r="J2" i="612"/>
  <c r="A10" i="610"/>
  <c r="B14" i="610" s="1"/>
  <c r="B13" i="606" l="1"/>
  <c r="G3" i="608" l="1"/>
  <c r="F3" i="608"/>
  <c r="E3" i="608"/>
  <c r="B9" i="609" l="1"/>
  <c r="L3" i="607" l="1"/>
  <c r="E4" i="607"/>
  <c r="H5" i="607" s="1"/>
  <c r="D4" i="607"/>
  <c r="G8" i="607" s="1"/>
  <c r="B15" i="605"/>
  <c r="B13" i="603"/>
  <c r="G6" i="607" l="1"/>
  <c r="G4" i="607"/>
  <c r="G11" i="607"/>
  <c r="G10" i="607"/>
  <c r="G7" i="607"/>
  <c r="G13" i="607"/>
  <c r="G9" i="607"/>
  <c r="I9" i="607" s="1"/>
  <c r="G5" i="607"/>
  <c r="I5" i="607" s="1"/>
  <c r="H11" i="607"/>
  <c r="I11" i="607" s="1"/>
  <c r="H7" i="607"/>
  <c r="I7" i="607" s="1"/>
  <c r="H12" i="607"/>
  <c r="H8" i="607"/>
  <c r="I8" i="607" s="1"/>
  <c r="G12" i="607"/>
  <c r="H4" i="607"/>
  <c r="I4" i="607" s="1"/>
  <c r="H10" i="607"/>
  <c r="H6" i="607"/>
  <c r="I6" i="607" s="1"/>
  <c r="H13" i="607"/>
  <c r="H9" i="607"/>
  <c r="J4" i="599"/>
  <c r="I10" i="607" l="1"/>
  <c r="I13" i="607"/>
  <c r="I12" i="607"/>
  <c r="J4" i="601"/>
  <c r="H10" i="598"/>
  <c r="K3" i="607" l="1"/>
  <c r="M4" i="597"/>
  <c r="K4" i="596" l="1"/>
  <c r="C8" i="591" l="1"/>
  <c r="B3" i="595" l="1"/>
  <c r="B4" i="595"/>
  <c r="B2" i="595"/>
  <c r="C3" i="593" l="1"/>
  <c r="C4" i="593"/>
  <c r="C5" i="593"/>
  <c r="C6" i="593"/>
  <c r="C2" i="593"/>
  <c r="B3" i="593"/>
  <c r="B4" i="593"/>
  <c r="B5" i="593"/>
  <c r="B6" i="593"/>
  <c r="B2" i="593"/>
  <c r="B6" i="592"/>
  <c r="B7" i="592"/>
  <c r="B8" i="592"/>
  <c r="B9" i="592"/>
  <c r="B10" i="592"/>
  <c r="B11" i="592"/>
  <c r="B12" i="592"/>
  <c r="B13" i="592"/>
  <c r="B14" i="592"/>
  <c r="B5" i="592"/>
  <c r="C3" i="590" l="1"/>
  <c r="C4" i="590"/>
  <c r="C5" i="590"/>
  <c r="C6" i="590"/>
  <c r="C2" i="590"/>
  <c r="C2" i="588"/>
  <c r="C3" i="588"/>
  <c r="C4" i="588"/>
  <c r="C5" i="588"/>
  <c r="C6" i="588"/>
  <c r="B10" i="587" l="1"/>
  <c r="B14" i="585" l="1"/>
  <c r="B13" i="585"/>
  <c r="B9" i="584"/>
  <c r="D2" i="583"/>
  <c r="D2" i="580" l="1"/>
  <c r="C3" i="578" l="1"/>
  <c r="C2" i="578"/>
  <c r="C2" i="572" l="1"/>
  <c r="C3" i="572"/>
  <c r="C4" i="572"/>
  <c r="C2" i="579"/>
  <c r="C3" i="574"/>
  <c r="B16" i="577"/>
  <c r="B15" i="577"/>
  <c r="C3" i="576"/>
  <c r="C4" i="576"/>
  <c r="C2" i="576"/>
  <c r="C3" i="575"/>
  <c r="C4" i="575"/>
  <c r="C2" i="575"/>
  <c r="C2" i="574" l="1"/>
  <c r="F2" i="569" l="1" a="1"/>
  <c r="F2" i="569" s="1"/>
  <c r="F2" i="568"/>
  <c r="B16" i="567"/>
  <c r="B15" i="567"/>
  <c r="B3" i="566"/>
  <c r="B4" i="566"/>
  <c r="B5" i="566"/>
  <c r="B6" i="566"/>
  <c r="B2" i="566"/>
  <c r="P6" i="566"/>
  <c r="B2" i="564"/>
  <c r="B3" i="564"/>
  <c r="B4" i="564"/>
  <c r="B5" i="564"/>
  <c r="B6" i="564"/>
  <c r="B7" i="564"/>
  <c r="B8" i="564"/>
  <c r="F4" i="569" l="1"/>
  <c r="F3" i="569"/>
  <c r="F5" i="569"/>
  <c r="B3" i="563"/>
  <c r="B4" i="563"/>
  <c r="B5" i="563"/>
  <c r="B2" i="563"/>
  <c r="C3" i="561"/>
  <c r="C4" i="561"/>
  <c r="C5" i="561"/>
  <c r="C6" i="561"/>
  <c r="C7" i="561"/>
  <c r="C8" i="561"/>
  <c r="C9" i="561"/>
  <c r="C10" i="561"/>
  <c r="C11" i="561"/>
  <c r="C2" i="561"/>
  <c r="C3" i="562"/>
  <c r="C4" i="562"/>
  <c r="C5" i="562"/>
  <c r="C6" i="562"/>
  <c r="C2" i="562"/>
  <c r="M4" i="562"/>
  <c r="C6" i="559"/>
  <c r="B3" i="560"/>
  <c r="B4" i="560"/>
  <c r="B5" i="560"/>
  <c r="B6" i="560"/>
  <c r="B2" i="560"/>
  <c r="C3" i="559"/>
  <c r="C4" i="559"/>
  <c r="C5" i="559"/>
  <c r="C2" i="559"/>
  <c r="B2" i="557"/>
  <c r="B3" i="557"/>
  <c r="B4" i="557"/>
  <c r="B5" i="557"/>
  <c r="B6" i="557"/>
  <c r="B7" i="557"/>
  <c r="B3" i="556" l="1"/>
  <c r="B4" i="556"/>
  <c r="B5" i="556"/>
  <c r="B6" i="556"/>
  <c r="B7" i="556"/>
  <c r="B8" i="556"/>
  <c r="B9" i="556"/>
  <c r="B10" i="556"/>
  <c r="B11" i="556"/>
  <c r="B2" i="556"/>
  <c r="B11" i="553" l="1"/>
  <c r="C3" i="552"/>
  <c r="C4" i="552"/>
  <c r="C5" i="552"/>
  <c r="C6" i="552"/>
  <c r="C7" i="552"/>
  <c r="C8" i="552"/>
  <c r="C9" i="552"/>
  <c r="C10" i="552"/>
  <c r="C11" i="552"/>
  <c r="C2" i="552"/>
  <c r="C6" i="550"/>
  <c r="C2" i="550"/>
  <c r="C4" i="550"/>
  <c r="C7" i="550"/>
  <c r="C8" i="550"/>
  <c r="C9" i="550"/>
  <c r="A5" i="550"/>
  <c r="C5" i="550" s="1"/>
  <c r="A3" i="550"/>
  <c r="C3" i="550" s="1"/>
  <c r="D2" i="543" l="1"/>
  <c r="D3" i="543"/>
  <c r="D4" i="543"/>
  <c r="D5" i="543"/>
  <c r="B6" i="548" l="1"/>
  <c r="B6" i="547"/>
  <c r="B5" i="547"/>
  <c r="L8" i="546"/>
  <c r="L4" i="546"/>
  <c r="C3" i="545"/>
  <c r="C4" i="545"/>
  <c r="C5" i="545"/>
  <c r="C6" i="545"/>
  <c r="C2" i="545"/>
  <c r="D3" i="539" l="1"/>
  <c r="D4" i="539"/>
  <c r="D5" i="539"/>
  <c r="D6" i="539"/>
  <c r="D7" i="539"/>
  <c r="D8" i="539"/>
  <c r="D2" i="539"/>
  <c r="B14" i="542" l="1"/>
  <c r="B13" i="542"/>
  <c r="O3" i="540" l="1"/>
  <c r="O4" i="540"/>
  <c r="O5" i="540"/>
  <c r="O2" i="540"/>
  <c r="H3" i="540"/>
  <c r="B11" i="540" s="1"/>
  <c r="H4" i="540"/>
  <c r="B12" i="540" s="1"/>
  <c r="H5" i="540"/>
  <c r="B13" i="540" s="1"/>
  <c r="H2" i="540"/>
  <c r="B10" i="540" s="1"/>
  <c r="N9" i="539" l="1"/>
  <c r="C3" i="538"/>
  <c r="C4" i="538"/>
  <c r="C5" i="538"/>
  <c r="C6" i="538"/>
  <c r="C2" i="538"/>
  <c r="C2" i="536"/>
  <c r="C3" i="536"/>
  <c r="C4" i="536"/>
  <c r="C5" i="536"/>
  <c r="C6" i="536"/>
  <c r="C7" i="536"/>
  <c r="E10" i="534" l="1"/>
  <c r="E9" i="534"/>
  <c r="E10" i="533"/>
  <c r="E9" i="533"/>
  <c r="B14" i="532" l="1"/>
  <c r="B13" i="532"/>
  <c r="C3" i="532" s="1"/>
  <c r="C9" i="532" l="1"/>
  <c r="C5" i="532"/>
  <c r="C10" i="532"/>
  <c r="C2" i="532"/>
  <c r="C8" i="532"/>
  <c r="C4" i="532"/>
  <c r="C6" i="532"/>
  <c r="C11" i="532"/>
  <c r="C7" i="532"/>
  <c r="D9" i="530"/>
  <c r="B14" i="531"/>
  <c r="B13" i="531"/>
  <c r="C4" i="531" s="1"/>
  <c r="E9" i="528"/>
  <c r="E10" i="528"/>
  <c r="C3" i="531" l="1"/>
  <c r="D3" i="531"/>
  <c r="D7" i="531"/>
  <c r="D11" i="531"/>
  <c r="D5" i="531"/>
  <c r="D4" i="531"/>
  <c r="D8" i="531"/>
  <c r="D2" i="531"/>
  <c r="D9" i="531"/>
  <c r="D6" i="531"/>
  <c r="D10" i="531"/>
  <c r="C9" i="531"/>
  <c r="C5" i="531"/>
  <c r="C11" i="531"/>
  <c r="C7" i="531"/>
  <c r="C10" i="531"/>
  <c r="C6" i="531"/>
  <c r="C2" i="531"/>
  <c r="C8" i="531"/>
  <c r="C3" i="526"/>
  <c r="C4" i="526"/>
  <c r="C5" i="526"/>
  <c r="C6" i="526"/>
  <c r="C2" i="526"/>
  <c r="B3" i="525"/>
  <c r="B2" i="525"/>
  <c r="A4" i="525"/>
  <c r="B4" i="525" s="1"/>
  <c r="C3" i="524"/>
  <c r="C4" i="524"/>
  <c r="C5" i="524"/>
  <c r="C6" i="524"/>
  <c r="B3" i="524"/>
  <c r="B4" i="524"/>
  <c r="B5" i="524"/>
  <c r="B6" i="524"/>
  <c r="C2" i="524"/>
  <c r="B2" i="524"/>
  <c r="B3" i="523"/>
  <c r="B4" i="523"/>
  <c r="B5" i="523"/>
  <c r="B6" i="523"/>
  <c r="B2" i="523"/>
  <c r="B2" i="521"/>
  <c r="B3" i="521"/>
  <c r="B4" i="521"/>
  <c r="B5" i="521"/>
  <c r="B6" i="521"/>
  <c r="B7" i="521"/>
  <c r="B8" i="521"/>
  <c r="B9" i="521"/>
  <c r="C14" i="519" l="1"/>
  <c r="C13" i="519"/>
  <c r="C12" i="519"/>
  <c r="C11" i="519"/>
  <c r="C10" i="519"/>
  <c r="C9" i="519"/>
  <c r="D9" i="518"/>
  <c r="D8" i="518"/>
  <c r="B7" i="517"/>
  <c r="B8" i="516" l="1"/>
  <c r="D8" i="515" l="1"/>
  <c r="D9" i="515"/>
  <c r="D2" i="507" l="1"/>
  <c r="D3" i="507"/>
  <c r="D4" i="507"/>
  <c r="D5" i="507"/>
  <c r="D6" i="507"/>
  <c r="D7" i="507"/>
  <c r="D8" i="507"/>
  <c r="D3" i="513" l="1"/>
  <c r="D4" i="513"/>
  <c r="D5" i="513"/>
  <c r="D6" i="513"/>
  <c r="D7" i="513"/>
  <c r="D8" i="513"/>
  <c r="D9" i="513"/>
  <c r="D10" i="513"/>
  <c r="D2" i="513"/>
  <c r="C3" i="512"/>
  <c r="C4" i="512"/>
  <c r="C5" i="512"/>
  <c r="C6" i="512"/>
  <c r="C7" i="512"/>
  <c r="C8" i="512"/>
  <c r="C2" i="512"/>
  <c r="H7" i="513" l="1"/>
  <c r="H4" i="513"/>
  <c r="H6" i="513"/>
  <c r="H5" i="513"/>
  <c r="H3" i="513"/>
  <c r="E4" i="510"/>
  <c r="E7" i="510"/>
  <c r="E6" i="510"/>
  <c r="E5" i="510"/>
  <c r="E3" i="510"/>
  <c r="E2" i="510"/>
  <c r="B3" i="507"/>
  <c r="B4" i="507"/>
  <c r="B5" i="507"/>
  <c r="B6" i="507"/>
  <c r="B7" i="507"/>
  <c r="B8" i="507"/>
  <c r="B2" i="507"/>
  <c r="C2" i="494" l="1"/>
  <c r="D2" i="494"/>
  <c r="E2" i="494"/>
  <c r="F2" i="494"/>
  <c r="C3" i="494"/>
  <c r="D3" i="494"/>
  <c r="E3" i="494"/>
  <c r="F3" i="494"/>
  <c r="C4" i="494"/>
  <c r="D4" i="494"/>
  <c r="E4" i="494"/>
  <c r="F4" i="494"/>
  <c r="C5" i="494"/>
  <c r="D5" i="494"/>
  <c r="E5" i="494"/>
  <c r="F5" i="494"/>
  <c r="C6" i="494"/>
  <c r="D6" i="494"/>
  <c r="E6" i="494"/>
  <c r="F6" i="494"/>
  <c r="C7" i="494"/>
  <c r="D7" i="494"/>
  <c r="E7" i="494"/>
  <c r="F7" i="494"/>
  <c r="C8" i="494"/>
  <c r="D8" i="494"/>
  <c r="E8" i="494"/>
  <c r="F8" i="494"/>
  <c r="C9" i="494"/>
  <c r="D9" i="494"/>
  <c r="E9" i="494"/>
  <c r="F9" i="494"/>
  <c r="C10" i="494"/>
  <c r="D10" i="494"/>
  <c r="E10" i="494"/>
  <c r="F10" i="494"/>
  <c r="C11" i="494"/>
  <c r="D11" i="494"/>
  <c r="E11" i="494"/>
  <c r="F11" i="494"/>
  <c r="C12" i="494"/>
  <c r="D12" i="494"/>
  <c r="E12" i="494"/>
  <c r="F12" i="494"/>
  <c r="D13" i="494"/>
  <c r="E13" i="494"/>
  <c r="C14" i="494"/>
  <c r="C16" i="494" s="1"/>
  <c r="D14" i="494"/>
  <c r="D16" i="494" s="1"/>
  <c r="E14" i="494"/>
  <c r="F14" i="494"/>
  <c r="C15" i="494"/>
  <c r="D15" i="494"/>
  <c r="E15" i="494"/>
  <c r="F15" i="494"/>
  <c r="E16" i="494"/>
  <c r="F16" i="494"/>
  <c r="C17" i="494"/>
  <c r="C19" i="494" s="1"/>
  <c r="D17" i="494"/>
  <c r="D19" i="494" s="1"/>
  <c r="E17" i="494"/>
  <c r="F17" i="494"/>
  <c r="C18" i="494"/>
  <c r="D18" i="494"/>
  <c r="E18" i="494"/>
  <c r="F18" i="494"/>
  <c r="E19" i="494"/>
  <c r="F19" i="494"/>
  <c r="C20" i="494"/>
  <c r="C22" i="494" s="1"/>
  <c r="D20" i="494"/>
  <c r="D22" i="494" s="1"/>
  <c r="E20" i="494"/>
  <c r="F20" i="494"/>
  <c r="C21" i="494"/>
  <c r="D21" i="494"/>
  <c r="E21" i="494"/>
  <c r="F21" i="494"/>
  <c r="E22" i="494"/>
  <c r="F22" i="494"/>
  <c r="C23" i="494"/>
  <c r="C25" i="494" s="1"/>
  <c r="D23" i="494"/>
  <c r="D25" i="494" s="1"/>
  <c r="E23" i="494"/>
  <c r="F23" i="494"/>
  <c r="C24" i="494"/>
  <c r="D24" i="494"/>
  <c r="E24" i="494"/>
  <c r="F24" i="494"/>
  <c r="E25" i="494"/>
  <c r="F25" i="494"/>
  <c r="C26" i="494"/>
  <c r="C28" i="494" s="1"/>
  <c r="D26" i="494"/>
  <c r="D28" i="494" s="1"/>
  <c r="E26" i="494"/>
  <c r="F26" i="494"/>
  <c r="C27" i="494"/>
  <c r="D27" i="494"/>
  <c r="E27" i="494"/>
  <c r="F27" i="494"/>
  <c r="E28" i="494"/>
  <c r="F28" i="494"/>
  <c r="C29" i="494"/>
  <c r="C31" i="494" s="1"/>
  <c r="D29" i="494"/>
  <c r="D31" i="494" s="1"/>
  <c r="E29" i="494"/>
  <c r="F29" i="494"/>
  <c r="C30" i="494"/>
  <c r="D30" i="494"/>
  <c r="E30" i="494"/>
  <c r="F30" i="494"/>
  <c r="E31" i="494"/>
  <c r="F31" i="494"/>
  <c r="F13" i="494" l="1"/>
  <c r="C13" i="494"/>
  <c r="C2" i="488"/>
  <c r="D2" i="488"/>
  <c r="D5" i="488" s="1"/>
  <c r="E2" i="488"/>
  <c r="F2" i="488"/>
  <c r="F5" i="488" s="1"/>
  <c r="C3" i="488"/>
  <c r="D3" i="488"/>
  <c r="E3" i="488"/>
  <c r="F3" i="488"/>
  <c r="C4" i="488"/>
  <c r="D4" i="488"/>
  <c r="E4" i="488"/>
  <c r="F4" i="488"/>
  <c r="C6" i="488"/>
  <c r="D6" i="488"/>
  <c r="D9" i="488" s="1"/>
  <c r="E6" i="488"/>
  <c r="F6" i="488"/>
  <c r="C7" i="488"/>
  <c r="C9" i="488" s="1"/>
  <c r="D7" i="488"/>
  <c r="E7" i="488"/>
  <c r="E9" i="488" s="1"/>
  <c r="F7" i="488"/>
  <c r="F9" i="488" s="1"/>
  <c r="C8" i="488"/>
  <c r="D8" i="488"/>
  <c r="E8" i="488"/>
  <c r="F8" i="488"/>
  <c r="C10" i="488"/>
  <c r="D10" i="488"/>
  <c r="E10" i="488"/>
  <c r="F10" i="488"/>
  <c r="C11" i="488"/>
  <c r="D11" i="488"/>
  <c r="E11" i="488"/>
  <c r="F11" i="488"/>
  <c r="C12" i="488"/>
  <c r="D12" i="488"/>
  <c r="E12" i="488"/>
  <c r="F12" i="488"/>
  <c r="C13" i="488"/>
  <c r="D13" i="488"/>
  <c r="E13" i="488"/>
  <c r="F13" i="488" l="1"/>
  <c r="E5" i="488"/>
  <c r="C5" i="488"/>
  <c r="B13" i="473"/>
  <c r="B11" i="473"/>
  <c r="B10" i="473"/>
  <c r="D3" i="476" l="1"/>
  <c r="D4" i="476"/>
  <c r="D5" i="476"/>
  <c r="D6" i="476"/>
  <c r="D7" i="476"/>
  <c r="D8" i="476"/>
  <c r="D9" i="476"/>
  <c r="D10" i="476"/>
  <c r="D11" i="476"/>
  <c r="D12" i="476"/>
  <c r="D2" i="476"/>
  <c r="H3" i="474"/>
  <c r="H4" i="474"/>
  <c r="H5" i="474"/>
  <c r="H6" i="474"/>
  <c r="H7" i="474"/>
  <c r="H8" i="474"/>
  <c r="H9" i="474"/>
  <c r="H10" i="474"/>
  <c r="H11" i="474"/>
  <c r="H2" i="474"/>
  <c r="B11" i="472" l="1"/>
  <c r="B10" i="472"/>
  <c r="G3" i="471"/>
  <c r="G4" i="471"/>
  <c r="G5" i="471"/>
  <c r="G6" i="471"/>
  <c r="G7" i="471"/>
  <c r="G2" i="471"/>
  <c r="E2" i="469"/>
  <c r="E3" i="469"/>
  <c r="E4" i="469"/>
  <c r="E5" i="469"/>
  <c r="B3" i="460" l="1"/>
  <c r="B4" i="460"/>
  <c r="B5" i="460"/>
  <c r="B6" i="460"/>
  <c r="B7" i="460"/>
  <c r="B8" i="460"/>
  <c r="B9" i="460"/>
  <c r="B10" i="460"/>
  <c r="B11" i="460"/>
  <c r="B2" i="460"/>
  <c r="D3" i="464" l="1"/>
  <c r="D4" i="464"/>
  <c r="D5" i="464"/>
  <c r="D6" i="464"/>
  <c r="D2" i="464"/>
  <c r="B3" i="468"/>
  <c r="B4" i="468"/>
  <c r="B5" i="468"/>
  <c r="B6" i="468"/>
  <c r="B7" i="468"/>
  <c r="B8" i="468"/>
  <c r="B9" i="468"/>
  <c r="B10" i="468"/>
  <c r="B11" i="468"/>
  <c r="B2" i="468"/>
  <c r="E2" i="467"/>
  <c r="F2" i="467"/>
  <c r="D2" i="467"/>
  <c r="B2" i="467"/>
  <c r="A2" i="467"/>
  <c r="C2" i="467"/>
  <c r="R8" i="468" l="1"/>
  <c r="B11" i="466"/>
  <c r="B8" i="466"/>
  <c r="B2" i="466"/>
  <c r="B5" i="466"/>
  <c r="B6" i="466"/>
  <c r="B10" i="466"/>
  <c r="B3" i="466"/>
  <c r="B4" i="466"/>
  <c r="B7" i="466"/>
  <c r="B9" i="466"/>
  <c r="D2" i="465"/>
  <c r="B6" i="463"/>
  <c r="A2" i="463"/>
  <c r="B2" i="463"/>
  <c r="A3" i="463"/>
  <c r="B3" i="463"/>
  <c r="A4" i="463"/>
  <c r="B4" i="463"/>
  <c r="A5" i="463"/>
  <c r="B5" i="463"/>
  <c r="A6" i="463"/>
  <c r="C3" i="462"/>
  <c r="C4" i="462"/>
  <c r="C5" i="462"/>
  <c r="C6" i="462"/>
  <c r="C2" i="462"/>
  <c r="B13" i="457" l="1"/>
  <c r="D5" i="459" l="1"/>
  <c r="D4" i="459"/>
  <c r="D3" i="459"/>
  <c r="D2" i="459"/>
  <c r="C3" i="458"/>
  <c r="C4" i="458"/>
  <c r="C5" i="458"/>
  <c r="C6" i="458"/>
  <c r="C7" i="458"/>
  <c r="C2" i="458"/>
  <c r="B13" i="456"/>
  <c r="E3" i="455"/>
  <c r="E4" i="455"/>
  <c r="E5" i="455"/>
  <c r="E6" i="455"/>
  <c r="E7" i="455"/>
  <c r="E8" i="455"/>
  <c r="E9" i="455"/>
  <c r="E10" i="455"/>
  <c r="E11" i="455"/>
  <c r="E2" i="455"/>
  <c r="B3" i="454"/>
  <c r="B2" i="454"/>
  <c r="B2" i="452"/>
  <c r="B3" i="452"/>
  <c r="B4" i="452"/>
  <c r="B5" i="452"/>
  <c r="B6" i="452"/>
  <c r="B7" i="452"/>
  <c r="B8" i="452"/>
  <c r="B9" i="452"/>
  <c r="B10" i="452"/>
  <c r="B11" i="452"/>
  <c r="E2" i="450" l="1"/>
  <c r="D2" i="449"/>
  <c r="B12" i="448"/>
  <c r="I2" i="448"/>
  <c r="F7" i="448" s="1"/>
  <c r="I7" i="448" s="1"/>
  <c r="F2" i="448"/>
  <c r="E5" i="448" s="1"/>
  <c r="E1" i="447"/>
  <c r="B13" i="445"/>
  <c r="F6" i="448" l="1"/>
  <c r="I6" i="448" s="1"/>
  <c r="F4" i="448"/>
  <c r="I4" i="448" s="1"/>
  <c r="H5" i="448"/>
  <c r="E7" i="448"/>
  <c r="F9" i="448"/>
  <c r="I9" i="448" s="1"/>
  <c r="F5" i="448"/>
  <c r="I5" i="448" s="1"/>
  <c r="E4" i="448"/>
  <c r="E6" i="448"/>
  <c r="F8" i="448"/>
  <c r="I8" i="448" s="1"/>
  <c r="E8" i="448"/>
  <c r="E9" i="448"/>
  <c r="G2" i="444"/>
  <c r="B13" i="443"/>
  <c r="B14" i="442"/>
  <c r="E2" i="441"/>
  <c r="G4" i="440"/>
  <c r="H6" i="448" l="1"/>
  <c r="G6" i="448"/>
  <c r="H7" i="448"/>
  <c r="G7" i="448"/>
  <c r="G9" i="448"/>
  <c r="H9" i="448"/>
  <c r="H4" i="448"/>
  <c r="G4" i="448"/>
  <c r="G8" i="448"/>
  <c r="H8" i="448"/>
  <c r="G5" i="448"/>
  <c r="G3" i="439"/>
  <c r="F2" i="438"/>
  <c r="F2" i="437"/>
  <c r="B11" i="448" l="1"/>
  <c r="B14" i="436"/>
  <c r="F5" i="435"/>
  <c r="F6" i="435"/>
  <c r="B8" i="426" l="1"/>
  <c r="C3" i="434" l="1"/>
  <c r="C4" i="434"/>
  <c r="C5" i="434"/>
  <c r="C6" i="434"/>
  <c r="C2" i="434"/>
  <c r="B3" i="433" l="1"/>
  <c r="B4" i="433"/>
  <c r="B5" i="433"/>
  <c r="B6" i="433"/>
  <c r="B2" i="433"/>
  <c r="D3" i="432" l="1"/>
  <c r="D4" i="432"/>
  <c r="D5" i="432"/>
  <c r="D6" i="432"/>
  <c r="D7" i="432"/>
  <c r="D2" i="432"/>
  <c r="G3" i="429" l="1"/>
  <c r="G4" i="429"/>
  <c r="G5" i="429"/>
  <c r="G6" i="429"/>
  <c r="G7" i="429"/>
  <c r="G8" i="429"/>
  <c r="G9" i="429"/>
  <c r="G10" i="429"/>
  <c r="G11" i="429"/>
  <c r="G2" i="429"/>
  <c r="D3" i="428"/>
  <c r="D4" i="428"/>
  <c r="D5" i="428"/>
  <c r="D2" i="428"/>
  <c r="E2" i="427"/>
  <c r="E3" i="427"/>
  <c r="F2" i="425"/>
  <c r="C4" i="423" l="1"/>
  <c r="C5" i="423"/>
  <c r="C6" i="423"/>
  <c r="C7" i="423"/>
  <c r="C8" i="423"/>
  <c r="C3" i="423"/>
  <c r="B6" i="418" l="1"/>
  <c r="B7" i="418"/>
  <c r="B8" i="418"/>
  <c r="B5" i="418"/>
  <c r="C6" i="416" l="1"/>
  <c r="F3" i="416" s="1"/>
  <c r="B8" i="415" l="1"/>
  <c r="F3" i="415" s="1"/>
  <c r="B11" i="414"/>
  <c r="F3" i="414" s="1"/>
  <c r="B9" i="413"/>
  <c r="E3" i="413" s="1"/>
  <c r="B7" i="412"/>
  <c r="E3" i="412" s="1"/>
  <c r="B12" i="414" l="1"/>
  <c r="B13" i="414" s="1"/>
  <c r="H3" i="414" s="1"/>
  <c r="E3" i="411"/>
  <c r="B5" i="411"/>
  <c r="G3" i="414" l="1"/>
  <c r="B14" i="414"/>
  <c r="I3" i="414" s="1"/>
  <c r="E3" i="410"/>
  <c r="B8" i="410"/>
  <c r="C6" i="407"/>
  <c r="C4" i="407"/>
  <c r="B7" i="407"/>
  <c r="E3" i="406"/>
  <c r="B9" i="406"/>
  <c r="E2" i="403"/>
  <c r="C7" i="403"/>
  <c r="E3" i="408" l="1"/>
  <c r="B2" i="388"/>
  <c r="B13" i="390"/>
  <c r="G3" i="389"/>
  <c r="G4" i="389"/>
  <c r="G5" i="389"/>
  <c r="G6" i="389"/>
  <c r="G7" i="389"/>
  <c r="G8" i="389"/>
  <c r="G9" i="389"/>
  <c r="G10" i="389"/>
  <c r="G11" i="389"/>
  <c r="G2" i="389"/>
  <c r="G4" i="387" l="1"/>
  <c r="G3" i="387"/>
  <c r="G2" i="386" l="1"/>
  <c r="E2" i="385" l="1"/>
  <c r="E3" i="385"/>
  <c r="E4" i="385"/>
  <c r="C13" i="373" l="1"/>
  <c r="B12" i="370" l="1"/>
  <c r="B13" i="377"/>
  <c r="B13" i="376"/>
  <c r="B13" i="375"/>
  <c r="B13" i="374"/>
  <c r="E13" i="368" l="1" a="1"/>
  <c r="E13" i="368" s="1"/>
  <c r="B12" i="369" l="1" a="1"/>
  <c r="B12" i="369" s="1"/>
  <c r="D13" i="369" l="1"/>
  <c r="D14" i="369"/>
  <c r="C13" i="369"/>
  <c r="C14" i="369"/>
  <c r="B13" i="369"/>
  <c r="B14" i="369"/>
  <c r="D12" i="369"/>
  <c r="C12" i="369"/>
  <c r="B9" i="367" a="1"/>
  <c r="B9" i="367" s="1"/>
  <c r="C10" i="367" l="1"/>
  <c r="B10" i="367"/>
  <c r="C9" i="367"/>
  <c r="F11" i="366" a="1"/>
  <c r="F11" i="366" s="1"/>
  <c r="D12" i="366"/>
  <c r="C12" i="366"/>
  <c r="D11" i="366"/>
  <c r="C11" i="366"/>
  <c r="B11" i="365" a="1"/>
  <c r="B11" i="365" s="1"/>
  <c r="A11" i="363" a="1"/>
  <c r="A11" i="363" s="1"/>
  <c r="D13" i="365" l="1"/>
  <c r="C13" i="365"/>
  <c r="B13" i="365"/>
  <c r="D12" i="365"/>
  <c r="C12" i="365"/>
  <c r="B12" i="365"/>
  <c r="G12" i="366"/>
  <c r="F12" i="366"/>
  <c r="G11" i="366"/>
  <c r="D11" i="365"/>
  <c r="C11" i="365"/>
  <c r="A12" i="363"/>
  <c r="B11" i="363"/>
  <c r="B12" i="363"/>
  <c r="B10" i="359"/>
  <c r="B11" i="358"/>
  <c r="B10" i="361" l="1"/>
  <c r="D12" i="360"/>
  <c r="C12" i="360"/>
  <c r="B10" i="355" l="1"/>
  <c r="B18" i="349" l="1"/>
  <c r="G6" i="354"/>
  <c r="G6" i="353"/>
  <c r="G7" i="352"/>
  <c r="B18" i="351" l="1"/>
  <c r="F6" i="347"/>
  <c r="E6" i="350" l="1"/>
  <c r="B7" i="346" l="1" a="1"/>
  <c r="B7" i="346" s="1"/>
  <c r="B17" i="345"/>
  <c r="B18" i="345"/>
  <c r="B19" i="345"/>
  <c r="B20" i="345"/>
  <c r="B16" i="345"/>
  <c r="B9" i="346" l="1"/>
  <c r="B10" i="346"/>
  <c r="B8" i="346"/>
  <c r="B11" i="346"/>
  <c r="B9" i="345"/>
  <c r="B10" i="345"/>
  <c r="B11" i="345"/>
  <c r="B12" i="345"/>
  <c r="B8" i="345"/>
  <c r="B8" i="344"/>
  <c r="B13" i="343"/>
  <c r="B11" i="343"/>
  <c r="B8" i="342" a="1"/>
  <c r="B8" i="342" s="1"/>
  <c r="B7" i="340"/>
  <c r="E16" i="345" l="1" a="1"/>
  <c r="E19" i="345" s="1"/>
  <c r="B11" i="342"/>
  <c r="B10" i="342"/>
  <c r="B9" i="342"/>
  <c r="B13" i="335"/>
  <c r="E18" i="345" l="1"/>
  <c r="E17" i="345"/>
  <c r="E20" i="345"/>
  <c r="E16" i="345"/>
  <c r="B11" i="337"/>
  <c r="B11" i="336"/>
  <c r="O11" i="335"/>
  <c r="B13" i="332"/>
  <c r="B11" i="338"/>
  <c r="C3" i="331" l="1"/>
  <c r="C4" i="331"/>
  <c r="C5" i="331"/>
  <c r="C6" i="331"/>
  <c r="C2" i="331"/>
  <c r="C3" i="330" l="1"/>
  <c r="C4" i="330"/>
  <c r="C5" i="330"/>
  <c r="C6" i="330"/>
  <c r="C2" i="330"/>
  <c r="F3" i="329"/>
  <c r="F4" i="329"/>
  <c r="F2" i="329"/>
  <c r="C3" i="328" l="1"/>
  <c r="C4" i="328"/>
  <c r="C5" i="328"/>
  <c r="C6" i="328"/>
  <c r="C7" i="328"/>
  <c r="C2" i="328"/>
  <c r="C7" i="327"/>
  <c r="C6" i="327"/>
  <c r="C5" i="327"/>
  <c r="C4" i="327"/>
  <c r="C3" i="327"/>
  <c r="C2" i="327"/>
  <c r="C2" i="325"/>
  <c r="C3" i="325"/>
  <c r="C4" i="325"/>
  <c r="C5" i="325"/>
  <c r="D3" i="319" l="1"/>
  <c r="D9" i="319" l="1"/>
  <c r="D8" i="319"/>
  <c r="D7" i="319"/>
  <c r="D6" i="319"/>
  <c r="D5" i="319"/>
  <c r="E2" i="316"/>
  <c r="E3" i="316"/>
  <c r="E4" i="316"/>
  <c r="D4" i="319"/>
  <c r="D2" i="319"/>
  <c r="C3" i="320"/>
  <c r="C4" i="320"/>
  <c r="C5" i="320"/>
  <c r="C6" i="320"/>
  <c r="C7" i="320"/>
  <c r="C8" i="320"/>
  <c r="C9" i="320"/>
  <c r="C10" i="320"/>
  <c r="C11" i="320"/>
  <c r="C2" i="320"/>
  <c r="H10" i="320"/>
  <c r="H9" i="320"/>
  <c r="F2" i="322" l="1"/>
  <c r="D3" i="321" l="1"/>
  <c r="D4" i="321"/>
  <c r="D5" i="321"/>
  <c r="D6" i="321"/>
  <c r="D2" i="321"/>
  <c r="B14" i="314" l="1"/>
  <c r="B13" i="314"/>
  <c r="B12" i="314"/>
  <c r="C10" i="313"/>
  <c r="B10" i="313"/>
  <c r="B13" i="312"/>
  <c r="B12" i="312"/>
  <c r="B12" i="309"/>
  <c r="E6" i="311" l="1"/>
  <c r="F3" i="308" l="1"/>
  <c r="F2" i="308"/>
  <c r="D3" i="307"/>
  <c r="D4" i="307"/>
  <c r="D5" i="307"/>
  <c r="D6" i="307"/>
  <c r="D7" i="307"/>
  <c r="D8" i="307"/>
  <c r="D9" i="307"/>
  <c r="D10" i="307"/>
  <c r="D11" i="307"/>
  <c r="D2" i="307"/>
  <c r="B13" i="306" l="1"/>
  <c r="C6" i="305"/>
  <c r="C2" i="305"/>
  <c r="C3" i="305"/>
  <c r="C4" i="305"/>
  <c r="C5" i="305"/>
  <c r="B3" i="304"/>
  <c r="B4" i="304"/>
  <c r="B5" i="304"/>
  <c r="B6" i="304"/>
  <c r="B7" i="304"/>
  <c r="B8" i="304"/>
  <c r="B9" i="304"/>
  <c r="B10" i="304"/>
  <c r="B2" i="304"/>
  <c r="B2" i="302"/>
  <c r="B3" i="302"/>
  <c r="B4" i="302"/>
  <c r="B5" i="302"/>
  <c r="B6" i="302"/>
  <c r="B7" i="302"/>
  <c r="B8" i="302"/>
  <c r="B9" i="302"/>
  <c r="B10" i="302"/>
  <c r="C3" i="297" l="1"/>
  <c r="C4" i="297"/>
  <c r="C5" i="297"/>
  <c r="C6" i="297"/>
  <c r="C7" i="297"/>
  <c r="C8" i="297"/>
  <c r="C9" i="297"/>
  <c r="C2" i="297"/>
  <c r="F2" i="300" l="1"/>
  <c r="E5" i="299" l="1"/>
  <c r="E4" i="299"/>
  <c r="E3" i="299"/>
  <c r="E2" i="299"/>
  <c r="D5" i="299"/>
  <c r="D4" i="299"/>
  <c r="D3" i="299"/>
  <c r="D2" i="299"/>
  <c r="D3" i="298"/>
  <c r="D4" i="298"/>
  <c r="D5" i="298"/>
  <c r="D6" i="298"/>
  <c r="D2" i="298"/>
  <c r="D2" i="295" l="1"/>
  <c r="D3" i="295"/>
  <c r="D4" i="295"/>
  <c r="D5" i="295"/>
  <c r="D6" i="295"/>
  <c r="D7" i="295"/>
  <c r="D8" i="295"/>
  <c r="G2" i="294" l="1" a="1"/>
  <c r="G2" i="294" s="1"/>
  <c r="B16" i="293"/>
  <c r="B16" i="292" l="1"/>
  <c r="B15" i="292"/>
  <c r="F2" i="290"/>
  <c r="G2" i="291" l="1" a="1"/>
  <c r="G2" i="291" s="1"/>
  <c r="F1" i="290" l="1"/>
  <c r="B14" i="289"/>
  <c r="I4" i="289"/>
  <c r="I3" i="289"/>
  <c r="I2" i="289"/>
  <c r="G3" i="287"/>
  <c r="G4" i="287"/>
  <c r="G5" i="287"/>
  <c r="G6" i="287"/>
  <c r="G7" i="287"/>
  <c r="H7" i="285" l="1"/>
  <c r="H6" i="285" l="1"/>
  <c r="D8" i="282"/>
  <c r="B3" i="284"/>
  <c r="B4" i="284"/>
  <c r="B5" i="284"/>
  <c r="B6" i="284"/>
  <c r="B7" i="284"/>
  <c r="B8" i="284"/>
  <c r="B9" i="284"/>
  <c r="B10" i="284"/>
  <c r="B11" i="284"/>
  <c r="B12" i="284"/>
  <c r="B13" i="284"/>
  <c r="B2" i="284"/>
  <c r="D3" i="283"/>
  <c r="E3" i="283" s="1"/>
  <c r="D2" i="283"/>
  <c r="E2" i="283" s="1"/>
  <c r="O8" i="285" l="1"/>
  <c r="C13" i="285"/>
  <c r="C12" i="285"/>
  <c r="C11" i="285"/>
  <c r="C10" i="285"/>
  <c r="C9" i="285"/>
  <c r="C8" i="285"/>
  <c r="C7" i="285"/>
  <c r="C6" i="285"/>
  <c r="C5" i="285"/>
  <c r="C4" i="285"/>
  <c r="C3" i="285"/>
  <c r="D4" i="282"/>
  <c r="D2" i="282"/>
  <c r="D3" i="282"/>
  <c r="D5" i="282"/>
  <c r="D6" i="282"/>
  <c r="D7" i="282"/>
  <c r="D2" i="280" l="1"/>
  <c r="D3" i="280"/>
  <c r="D4" i="280"/>
  <c r="D5" i="280"/>
  <c r="C2" i="275" l="1"/>
  <c r="E4" i="276"/>
  <c r="E5" i="276"/>
  <c r="E6" i="276"/>
  <c r="E7" i="276"/>
  <c r="E8" i="276"/>
  <c r="E9" i="276"/>
  <c r="E10" i="276"/>
  <c r="E11" i="276"/>
  <c r="E12" i="276"/>
  <c r="E13" i="276"/>
  <c r="E14" i="276"/>
  <c r="E15" i="276"/>
  <c r="E16" i="276"/>
  <c r="E17" i="276"/>
  <c r="E3" i="276"/>
  <c r="E4" i="278" l="1"/>
  <c r="E5" i="278"/>
  <c r="E6" i="278"/>
  <c r="E7" i="278"/>
  <c r="E8" i="278"/>
  <c r="E9" i="278"/>
  <c r="E10" i="278"/>
  <c r="E11" i="278"/>
  <c r="E12" i="278"/>
  <c r="E3" i="278"/>
  <c r="C7" i="277" l="1"/>
  <c r="C2" i="277"/>
  <c r="C6" i="277"/>
  <c r="C4" i="277"/>
  <c r="C3" i="277"/>
  <c r="C5" i="277"/>
  <c r="C8" i="277"/>
  <c r="C3" i="275"/>
  <c r="C4" i="275"/>
  <c r="C5" i="275"/>
  <c r="C6" i="275"/>
  <c r="C7" i="275"/>
  <c r="C8" i="275"/>
  <c r="C9" i="275"/>
  <c r="C10" i="275"/>
  <c r="D4" i="274"/>
  <c r="F4" i="274" s="1"/>
  <c r="D6" i="274"/>
  <c r="F6" i="274" s="1"/>
  <c r="D2" i="274"/>
  <c r="F2" i="274" s="1"/>
  <c r="D3" i="274"/>
  <c r="F3" i="274" s="1"/>
  <c r="D5" i="274"/>
  <c r="F5" i="274" s="1"/>
  <c r="B3" i="272"/>
  <c r="B4" i="272"/>
  <c r="B5" i="272"/>
  <c r="B6" i="272"/>
  <c r="B7" i="272"/>
  <c r="B8" i="272"/>
  <c r="B9" i="272"/>
  <c r="B10" i="272"/>
  <c r="B11" i="272"/>
  <c r="B12" i="272"/>
  <c r="B2" i="272"/>
  <c r="B10" i="277" l="1"/>
  <c r="B4" i="271"/>
  <c r="F2" i="265" l="1"/>
  <c r="F3" i="265"/>
  <c r="F4" i="265"/>
  <c r="F5" i="265"/>
  <c r="B5" i="271" l="1"/>
  <c r="D3" i="269" l="1"/>
  <c r="D4" i="269"/>
  <c r="D5" i="269"/>
  <c r="D6" i="269"/>
  <c r="D2" i="269"/>
  <c r="F6" i="268"/>
  <c r="F5" i="268"/>
  <c r="F4" i="268"/>
  <c r="F3" i="268"/>
  <c r="F2" i="268"/>
  <c r="C3" i="267"/>
  <c r="C4" i="267"/>
  <c r="C5" i="267"/>
  <c r="C6" i="267"/>
  <c r="C7" i="267"/>
  <c r="C8" i="267"/>
  <c r="C2" i="267"/>
  <c r="E3" i="264" l="1"/>
  <c r="E2" i="264"/>
  <c r="B8" i="263"/>
  <c r="B3" i="263"/>
  <c r="B4" i="263"/>
  <c r="B5" i="263"/>
  <c r="B6" i="263"/>
  <c r="B7" i="263"/>
  <c r="B2" i="263"/>
  <c r="C3" i="262"/>
  <c r="C4" i="262"/>
  <c r="C5" i="262"/>
  <c r="C6" i="262"/>
  <c r="C7" i="262"/>
  <c r="C8" i="262"/>
  <c r="C9" i="262"/>
  <c r="C10" i="262"/>
  <c r="C11" i="262"/>
  <c r="C2" i="262"/>
  <c r="C3" i="261"/>
  <c r="C4" i="261"/>
  <c r="C5" i="261"/>
  <c r="C6" i="261"/>
  <c r="C7" i="261"/>
  <c r="C8" i="261"/>
  <c r="C9" i="261"/>
  <c r="C10" i="261"/>
  <c r="C11" i="261"/>
  <c r="C2" i="261"/>
  <c r="C3" i="260"/>
  <c r="C4" i="260"/>
  <c r="C5" i="260"/>
  <c r="C6" i="260"/>
  <c r="C7" i="260"/>
  <c r="C8" i="260"/>
  <c r="C9" i="260"/>
  <c r="C10" i="260"/>
  <c r="C11" i="260"/>
  <c r="C2" i="260"/>
  <c r="C2" i="258"/>
  <c r="C3" i="258"/>
  <c r="C4" i="258"/>
  <c r="C5" i="258"/>
  <c r="C6" i="258"/>
  <c r="C7" i="258"/>
  <c r="C8" i="258"/>
  <c r="C9" i="258"/>
  <c r="C10" i="258"/>
  <c r="C11" i="258"/>
  <c r="C12" i="258"/>
  <c r="C13" i="258"/>
  <c r="C14" i="258"/>
  <c r="C15" i="258"/>
  <c r="C16" i="258"/>
  <c r="C17" i="258"/>
  <c r="C18" i="258"/>
  <c r="B19" i="255" l="1"/>
  <c r="B9" i="251" l="1"/>
  <c r="B13" i="256" a="1"/>
  <c r="B13" i="256" s="1"/>
  <c r="B12" i="256"/>
  <c r="B11" i="256"/>
  <c r="E1" i="254"/>
  <c r="G4" i="253"/>
  <c r="G5" i="253"/>
  <c r="G6" i="253"/>
  <c r="G7" i="253"/>
  <c r="G3" i="253"/>
  <c r="G2" i="253"/>
  <c r="B14" i="256" l="1"/>
  <c r="C3" i="250"/>
  <c r="C4" i="250"/>
  <c r="C5" i="250"/>
  <c r="C6" i="250"/>
  <c r="C2" i="250"/>
  <c r="D3" i="248"/>
  <c r="D4" i="248"/>
  <c r="D5" i="248"/>
  <c r="D6" i="248"/>
  <c r="D7" i="248"/>
  <c r="D8" i="248"/>
  <c r="D9" i="248"/>
  <c r="D10" i="248"/>
  <c r="D11" i="248"/>
  <c r="D2" i="248"/>
  <c r="E2" i="247"/>
  <c r="E3" i="247"/>
  <c r="E4" i="247"/>
  <c r="E5" i="247"/>
  <c r="E6" i="247"/>
  <c r="E7" i="247"/>
  <c r="E8" i="247"/>
  <c r="E9" i="247"/>
  <c r="E10" i="247"/>
  <c r="E11" i="247"/>
  <c r="E12" i="247"/>
  <c r="E13" i="247"/>
  <c r="D3" i="249"/>
  <c r="D4" i="249"/>
  <c r="D5" i="249"/>
  <c r="D2" i="249"/>
  <c r="A7" i="246" l="1"/>
  <c r="C7" i="246" s="1"/>
  <c r="A6" i="246"/>
  <c r="C6" i="246" s="1"/>
  <c r="A5" i="246"/>
  <c r="C5" i="246" s="1"/>
  <c r="A4" i="246"/>
  <c r="C4" i="246" s="1"/>
  <c r="A3" i="246"/>
  <c r="C3" i="246" s="1"/>
  <c r="A2" i="246"/>
  <c r="C2" i="246" s="1"/>
  <c r="A2" i="244"/>
  <c r="D2" i="244" s="1"/>
  <c r="A6" i="244"/>
  <c r="D6" i="244" s="1"/>
  <c r="A5" i="244"/>
  <c r="D5" i="244" s="1"/>
  <c r="A4" i="244"/>
  <c r="D4" i="244" s="1"/>
  <c r="A3" i="244"/>
  <c r="D3" i="244" s="1"/>
  <c r="A5" i="237" l="1"/>
  <c r="C5" i="237" s="1"/>
  <c r="B7" i="239" l="1"/>
  <c r="A5" i="243" l="1"/>
  <c r="A3" i="243"/>
  <c r="A4" i="243"/>
  <c r="A2" i="243"/>
  <c r="A2" i="242" l="1"/>
  <c r="B2" i="242" s="1"/>
  <c r="B7" i="242"/>
  <c r="B8" i="242"/>
  <c r="A11" i="242"/>
  <c r="B11" i="242" s="1"/>
  <c r="A10" i="242"/>
  <c r="B10" i="242" s="1"/>
  <c r="A9" i="242"/>
  <c r="B9" i="242" s="1"/>
  <c r="A6" i="242"/>
  <c r="B6" i="242" s="1"/>
  <c r="A4" i="242"/>
  <c r="B4" i="242" s="1"/>
  <c r="A5" i="242"/>
  <c r="B5" i="242" s="1"/>
  <c r="A3" i="242"/>
  <c r="B3" i="242" s="1"/>
  <c r="A6" i="241" l="1"/>
  <c r="B6" i="241" s="1"/>
  <c r="A5" i="241"/>
  <c r="B5" i="241" s="1"/>
  <c r="A3" i="241"/>
  <c r="B3" i="241" s="1"/>
  <c r="A4" i="241"/>
  <c r="B4" i="241" s="1"/>
  <c r="A2" i="241"/>
  <c r="B2" i="241" s="1"/>
  <c r="B2" i="240" l="1"/>
  <c r="C2" i="240" s="1"/>
  <c r="B3" i="240"/>
  <c r="C3" i="240" s="1"/>
  <c r="B4" i="240"/>
  <c r="C4" i="240" s="1"/>
  <c r="B5" i="240"/>
  <c r="C5" i="240" s="1"/>
  <c r="B6" i="240"/>
  <c r="C6" i="240" s="1"/>
  <c r="B7" i="240"/>
  <c r="C7" i="240" s="1"/>
  <c r="B4" i="239"/>
  <c r="C4" i="239" s="1"/>
  <c r="B6" i="239"/>
  <c r="C6" i="239" s="1"/>
  <c r="B5" i="239"/>
  <c r="C5" i="239" s="1"/>
  <c r="B3" i="239"/>
  <c r="C3" i="239" s="1"/>
  <c r="B2" i="239"/>
  <c r="C2" i="239" s="1"/>
  <c r="A4" i="237"/>
  <c r="C4" i="237" s="1"/>
  <c r="A3" i="237"/>
  <c r="C3" i="237" s="1"/>
  <c r="A2" i="237"/>
  <c r="C2" i="237" s="1"/>
  <c r="E3" i="236" l="1"/>
  <c r="E4" i="236"/>
  <c r="E5" i="236"/>
  <c r="E6" i="236"/>
  <c r="E2" i="236"/>
  <c r="K4" i="235"/>
  <c r="K5" i="235"/>
  <c r="K6" i="235"/>
  <c r="K3" i="235"/>
  <c r="J4" i="235"/>
  <c r="J5" i="235"/>
  <c r="J6" i="235"/>
  <c r="J3" i="235"/>
  <c r="B3" i="233"/>
  <c r="C3" i="233"/>
  <c r="D3" i="233"/>
  <c r="E3" i="233"/>
  <c r="F3" i="233"/>
  <c r="G3" i="233"/>
  <c r="H3" i="233"/>
  <c r="I3" i="233"/>
  <c r="J3" i="233"/>
  <c r="K3" i="233"/>
  <c r="L3" i="233"/>
  <c r="M3" i="233"/>
  <c r="B11" i="234" a="1"/>
  <c r="K11" i="234" s="1"/>
  <c r="F3" i="232"/>
  <c r="F4" i="232"/>
  <c r="F5" i="232" a="1"/>
  <c r="H5" i="232" s="1"/>
  <c r="F2" i="232"/>
  <c r="B4" i="230"/>
  <c r="B3" i="230"/>
  <c r="B2" i="230"/>
  <c r="J11" i="234" l="1"/>
  <c r="D11" i="234"/>
  <c r="H11" i="234"/>
  <c r="B11" i="234"/>
  <c r="E11" i="234"/>
  <c r="I11" i="234"/>
  <c r="F11" i="234"/>
  <c r="C11" i="234"/>
  <c r="G11" i="234"/>
  <c r="G5" i="232"/>
  <c r="F5" i="232"/>
  <c r="D6" i="227"/>
  <c r="D5" i="227"/>
  <c r="D4" i="227"/>
  <c r="D3" i="227"/>
  <c r="B14" i="234" l="1"/>
  <c r="B3" i="229"/>
  <c r="B4" i="229"/>
  <c r="B2" i="229"/>
  <c r="B3" i="228"/>
  <c r="C3" i="228" s="1"/>
  <c r="B4" i="228"/>
  <c r="C4" i="228" s="1"/>
  <c r="B5" i="228"/>
  <c r="C5" i="228" s="1"/>
  <c r="B6" i="228"/>
  <c r="C6" i="228" s="1"/>
  <c r="B2" i="228"/>
  <c r="C2" i="228" s="1"/>
  <c r="E3" i="224" l="1"/>
  <c r="E4" i="224"/>
  <c r="E5" i="224"/>
  <c r="E6" i="224"/>
  <c r="E2" i="224"/>
  <c r="D2" i="227" l="1"/>
  <c r="B3" i="226"/>
  <c r="B4" i="226"/>
  <c r="B5" i="226"/>
  <c r="B6" i="226"/>
  <c r="B7" i="226"/>
  <c r="B2" i="226"/>
  <c r="F3" i="225"/>
  <c r="F4" i="225"/>
  <c r="F5" i="225"/>
  <c r="F6" i="225"/>
  <c r="F2" i="225"/>
  <c r="C2" i="222"/>
  <c r="C3" i="222"/>
  <c r="C4" i="222"/>
  <c r="C5" i="222"/>
  <c r="C6" i="222"/>
  <c r="F10" i="222"/>
  <c r="D2" i="214" l="1"/>
  <c r="D3" i="214"/>
  <c r="D4" i="214"/>
  <c r="D5" i="214"/>
  <c r="D6" i="214"/>
  <c r="D7" i="214"/>
  <c r="B3" i="220"/>
  <c r="B4" i="220"/>
  <c r="B5" i="220"/>
  <c r="B6" i="220"/>
  <c r="B7" i="220"/>
  <c r="B8" i="220"/>
  <c r="B9" i="220"/>
  <c r="B10" i="220"/>
  <c r="B11" i="220"/>
  <c r="B2" i="220"/>
  <c r="B11" i="219"/>
  <c r="B3" i="219"/>
  <c r="B4" i="219"/>
  <c r="B5" i="219"/>
  <c r="B6" i="219"/>
  <c r="B7" i="219"/>
  <c r="B8" i="219"/>
  <c r="B9" i="219"/>
  <c r="B10" i="219"/>
  <c r="B2" i="219"/>
  <c r="C6" i="218"/>
  <c r="C5" i="218"/>
  <c r="C4" i="218"/>
  <c r="C3" i="218"/>
  <c r="B6" i="218"/>
  <c r="B5" i="218"/>
  <c r="B4" i="218"/>
  <c r="B3" i="218"/>
  <c r="C2" i="218"/>
  <c r="B2" i="218"/>
  <c r="C3" i="216"/>
  <c r="C4" i="216"/>
  <c r="C5" i="216"/>
  <c r="C6" i="216"/>
  <c r="C7" i="216"/>
  <c r="C8" i="216"/>
  <c r="C9" i="216"/>
  <c r="C10" i="216"/>
  <c r="C11" i="216"/>
  <c r="C2" i="216"/>
  <c r="D9" i="217" l="1"/>
  <c r="C3" i="212" l="1"/>
  <c r="C4" i="212"/>
  <c r="C5" i="212"/>
  <c r="C6" i="212"/>
  <c r="C2" i="212"/>
  <c r="B3" i="212"/>
  <c r="B4" i="212"/>
  <c r="B5" i="212"/>
  <c r="B6" i="212"/>
  <c r="B2" i="212"/>
  <c r="C3" i="209"/>
  <c r="C4" i="209"/>
  <c r="C5" i="209"/>
  <c r="C6" i="209"/>
  <c r="C7" i="209"/>
  <c r="C8" i="209"/>
  <c r="C9" i="209"/>
  <c r="C10" i="209"/>
  <c r="C11" i="209"/>
  <c r="C2" i="209"/>
  <c r="C3" i="213" l="1"/>
  <c r="C4" i="213"/>
  <c r="C5" i="213"/>
  <c r="C6" i="213"/>
  <c r="C7" i="213"/>
  <c r="C8" i="213"/>
  <c r="C2" i="213"/>
  <c r="D3" i="211" l="1"/>
  <c r="D4" i="211"/>
  <c r="D5" i="211"/>
  <c r="D6" i="211"/>
  <c r="D2" i="211"/>
  <c r="C2" i="207" l="1"/>
  <c r="C3" i="207"/>
  <c r="C4" i="207"/>
  <c r="C5" i="207"/>
  <c r="C6" i="207"/>
  <c r="C7" i="207"/>
  <c r="D3" i="210"/>
  <c r="D4" i="210"/>
  <c r="D5" i="210"/>
  <c r="D6" i="210"/>
  <c r="D2" i="210"/>
  <c r="A3" i="203" l="1"/>
  <c r="B3" i="203" s="1"/>
  <c r="B2" i="203"/>
  <c r="A4" i="203" l="1"/>
  <c r="C3" i="205"/>
  <c r="B8" i="202"/>
  <c r="C8" i="202"/>
  <c r="B4" i="203" l="1"/>
  <c r="A5" i="203"/>
  <c r="B3" i="204"/>
  <c r="B4" i="204"/>
  <c r="B5" i="204"/>
  <c r="B6" i="204"/>
  <c r="B2" i="204"/>
  <c r="B5" i="203" l="1"/>
  <c r="A6" i="203"/>
  <c r="D2" i="201"/>
  <c r="D3" i="201"/>
  <c r="D4" i="201"/>
  <c r="D5" i="201"/>
  <c r="D6" i="201"/>
  <c r="A7" i="203" l="1"/>
  <c r="B6" i="203"/>
  <c r="E9" i="195"/>
  <c r="E8" i="195"/>
  <c r="E3" i="195"/>
  <c r="E4" i="195"/>
  <c r="E5" i="195"/>
  <c r="E6" i="195"/>
  <c r="E7" i="195"/>
  <c r="E2" i="195"/>
  <c r="B7" i="203" l="1"/>
  <c r="A8" i="203"/>
  <c r="B8" i="203" s="1"/>
  <c r="C2" i="193"/>
  <c r="C3" i="193"/>
  <c r="C4" i="193"/>
  <c r="C5" i="193"/>
  <c r="C3" i="200" l="1"/>
  <c r="C2" i="200"/>
  <c r="E2" i="199" l="1"/>
  <c r="B3" i="197" l="1"/>
  <c r="B4" i="197"/>
  <c r="B5" i="197"/>
  <c r="B6" i="197"/>
  <c r="B2" i="197"/>
  <c r="B4" i="196"/>
  <c r="B3" i="196"/>
  <c r="B2" i="196"/>
  <c r="B16" i="192" l="1"/>
  <c r="B11" i="191"/>
  <c r="C3" i="190"/>
  <c r="C4" i="190"/>
  <c r="C5" i="190"/>
  <c r="C6" i="190"/>
  <c r="C7" i="190"/>
  <c r="C8" i="190"/>
  <c r="C9" i="190"/>
  <c r="C10" i="190"/>
  <c r="C11" i="190"/>
  <c r="C12" i="190"/>
  <c r="C13" i="190"/>
  <c r="C14" i="190"/>
  <c r="C15" i="190"/>
  <c r="C16" i="190"/>
  <c r="C2" i="190"/>
  <c r="F4" i="189"/>
  <c r="F5" i="189"/>
  <c r="F6" i="189"/>
  <c r="F7" i="189"/>
  <c r="F3" i="189"/>
  <c r="B14" i="188" l="1"/>
  <c r="E2" i="186"/>
  <c r="E3" i="186"/>
  <c r="I11" i="183" l="1"/>
  <c r="E3" i="183"/>
  <c r="E4" i="183"/>
  <c r="E5" i="183"/>
  <c r="E6" i="183"/>
  <c r="E2" i="183"/>
  <c r="D3" i="182" l="1"/>
  <c r="D4" i="182"/>
  <c r="D5" i="182"/>
  <c r="D6" i="182"/>
  <c r="D7" i="182"/>
  <c r="D2" i="182"/>
  <c r="C2" i="179"/>
  <c r="C3" i="179"/>
  <c r="C4" i="179"/>
  <c r="C5" i="179"/>
  <c r="C6" i="179"/>
  <c r="D2" i="181"/>
  <c r="D3" i="181"/>
  <c r="D4" i="181"/>
  <c r="D5" i="181"/>
  <c r="D6" i="181"/>
  <c r="D7" i="181"/>
  <c r="D8" i="181"/>
  <c r="D9" i="181"/>
  <c r="D10" i="181"/>
  <c r="D11" i="181"/>
  <c r="B18" i="175" l="1"/>
  <c r="B13" i="178" l="1"/>
  <c r="B14" i="174"/>
  <c r="B13" i="174"/>
  <c r="G2" i="177"/>
  <c r="M6" i="177" a="1"/>
  <c r="M6" i="177" s="1"/>
  <c r="B12" i="176" l="1"/>
  <c r="E2" i="171" l="1"/>
  <c r="E3" i="171"/>
  <c r="E4" i="171"/>
  <c r="E5" i="171"/>
  <c r="B7" i="167" l="1"/>
  <c r="F3" i="164"/>
  <c r="F4" i="164"/>
  <c r="F5" i="164"/>
  <c r="F2" i="169" l="1"/>
  <c r="F2" i="164"/>
  <c r="B2" i="162"/>
  <c r="B3" i="162"/>
  <c r="B4" i="162"/>
  <c r="B7" i="161" l="1"/>
  <c r="E2" i="156"/>
  <c r="C11" i="158"/>
  <c r="C10" i="158"/>
  <c r="C9" i="158"/>
  <c r="C8" i="158"/>
  <c r="C7" i="158"/>
  <c r="A10" i="159" l="1"/>
  <c r="C6" i="159"/>
  <c r="C5" i="159"/>
  <c r="B10" i="159" l="1"/>
  <c r="C6" i="157"/>
  <c r="B7" i="154"/>
  <c r="A2" i="153" l="1"/>
  <c r="C3" i="152" l="1"/>
  <c r="C4" i="152"/>
  <c r="C5" i="152"/>
  <c r="C6" i="152"/>
  <c r="C7" i="152"/>
  <c r="C2" i="152"/>
  <c r="C3" i="151"/>
  <c r="C4" i="151"/>
  <c r="C5" i="151"/>
  <c r="C6" i="151"/>
  <c r="C2" i="151"/>
  <c r="B3" i="151"/>
  <c r="B4" i="151"/>
  <c r="B5" i="151"/>
  <c r="B6" i="151"/>
  <c r="B2" i="151"/>
  <c r="B3" i="150"/>
  <c r="B2" i="150"/>
  <c r="B1" i="150"/>
  <c r="A3" i="149"/>
  <c r="A2" i="149"/>
  <c r="B2" i="147"/>
  <c r="B3" i="147"/>
  <c r="B4" i="147"/>
  <c r="B5" i="147"/>
  <c r="B13" i="146" l="1"/>
  <c r="I3" i="145" l="1" a="1"/>
  <c r="I3" i="145" s="1"/>
  <c r="I4" i="145" a="1"/>
  <c r="I4" i="145" s="1"/>
  <c r="I5" i="145" a="1"/>
  <c r="I5" i="145" s="1"/>
  <c r="I6" i="145" a="1"/>
  <c r="I6" i="145" s="1"/>
  <c r="I7" i="145" a="1"/>
  <c r="I7" i="145" s="1"/>
  <c r="I8" i="145" a="1"/>
  <c r="I8" i="145" s="1"/>
  <c r="I9" i="145" a="1"/>
  <c r="I9" i="145" s="1"/>
  <c r="I10" i="145" a="1"/>
  <c r="I10" i="145" s="1"/>
  <c r="I11" i="145" a="1"/>
  <c r="I11" i="145" s="1"/>
  <c r="I2" i="145" a="1"/>
  <c r="I2" i="145" s="1"/>
  <c r="E2" i="144" l="1"/>
  <c r="E1" i="144"/>
  <c r="B14" i="143"/>
  <c r="B10" i="142" l="1"/>
  <c r="B9" i="142"/>
  <c r="B12" i="140"/>
  <c r="C7" i="139" l="1"/>
  <c r="C12" i="137"/>
  <c r="C13" i="137"/>
  <c r="C14" i="137"/>
  <c r="C15" i="137"/>
  <c r="C16" i="137"/>
  <c r="C17" i="137"/>
  <c r="C18" i="137"/>
  <c r="C19" i="137"/>
  <c r="C20" i="137"/>
  <c r="C21" i="137"/>
  <c r="B16" i="138"/>
  <c r="B15" i="138"/>
  <c r="C3" i="138" s="1"/>
  <c r="B13" i="138"/>
  <c r="C15" i="136"/>
  <c r="C16" i="136"/>
  <c r="C17" i="136"/>
  <c r="C18" i="136"/>
  <c r="C19" i="136"/>
  <c r="C14" i="136"/>
  <c r="F3" i="138" l="1"/>
  <c r="C10" i="138"/>
  <c r="C6" i="138"/>
  <c r="D2" i="138"/>
  <c r="D8" i="138"/>
  <c r="D4" i="138"/>
  <c r="C9" i="138"/>
  <c r="C5" i="138"/>
  <c r="D11" i="138"/>
  <c r="D7" i="138"/>
  <c r="D3" i="138"/>
  <c r="E3" i="138" s="1"/>
  <c r="C2" i="138"/>
  <c r="C8" i="138"/>
  <c r="C4" i="138"/>
  <c r="D10" i="138"/>
  <c r="D6" i="138"/>
  <c r="C11" i="138"/>
  <c r="C7" i="138"/>
  <c r="D9" i="138"/>
  <c r="D5" i="138"/>
  <c r="E7" i="138" l="1"/>
  <c r="F7" i="138"/>
  <c r="E4" i="138"/>
  <c r="F4" i="138"/>
  <c r="F10" i="138"/>
  <c r="E10" i="138"/>
  <c r="E11" i="138"/>
  <c r="F11" i="138"/>
  <c r="E8" i="138"/>
  <c r="F8" i="138"/>
  <c r="E2" i="138"/>
  <c r="F2" i="138"/>
  <c r="F5" i="138"/>
  <c r="E5" i="138"/>
  <c r="F9" i="138"/>
  <c r="E9" i="138"/>
  <c r="F6" i="138"/>
  <c r="E6" i="138"/>
  <c r="A2" i="135"/>
  <c r="C2" i="135" s="1"/>
  <c r="A2" i="130"/>
  <c r="C10" i="134"/>
  <c r="C9" i="134"/>
  <c r="C8" i="134"/>
  <c r="C7" i="134"/>
  <c r="C6" i="134"/>
  <c r="C5" i="134"/>
  <c r="C4" i="134"/>
  <c r="B1" i="134"/>
  <c r="A2" i="133"/>
  <c r="B2" i="133" s="1"/>
  <c r="A8" i="133"/>
  <c r="B8" i="133" s="1"/>
  <c r="A7" i="133"/>
  <c r="B7" i="133" s="1"/>
  <c r="A6" i="133"/>
  <c r="B6" i="133" s="1"/>
  <c r="A5" i="133"/>
  <c r="B5" i="133" s="1"/>
  <c r="A4" i="133"/>
  <c r="B4" i="133" s="1"/>
  <c r="A3" i="133"/>
  <c r="B3" i="133" s="1"/>
  <c r="B6" i="132"/>
  <c r="B5" i="132"/>
  <c r="B4" i="132"/>
  <c r="B3" i="132"/>
  <c r="B2" i="132"/>
  <c r="G4" i="134" l="1"/>
  <c r="H4" i="134"/>
  <c r="F4" i="134"/>
  <c r="H8" i="134"/>
  <c r="F8" i="134"/>
  <c r="G8" i="134"/>
  <c r="G5" i="134"/>
  <c r="H5" i="134"/>
  <c r="F5" i="134"/>
  <c r="G9" i="134"/>
  <c r="H9" i="134"/>
  <c r="F9" i="134"/>
  <c r="B17" i="138"/>
  <c r="B18" i="138" s="1"/>
  <c r="B19" i="138" s="1"/>
  <c r="F6" i="134"/>
  <c r="H6" i="134"/>
  <c r="G6" i="134"/>
  <c r="F10" i="134"/>
  <c r="G10" i="134"/>
  <c r="H10" i="134"/>
  <c r="F7" i="134"/>
  <c r="G7" i="134"/>
  <c r="H7" i="134"/>
  <c r="A7" i="131"/>
  <c r="C7" i="131" s="1"/>
  <c r="A6" i="131"/>
  <c r="C6" i="131" s="1"/>
  <c r="A5" i="131"/>
  <c r="C5" i="131" s="1"/>
  <c r="A4" i="131"/>
  <c r="C4" i="131" s="1"/>
  <c r="A3" i="131"/>
  <c r="C3" i="131" s="1"/>
  <c r="A2" i="131"/>
  <c r="C2" i="131" s="1"/>
  <c r="D2" i="130"/>
  <c r="D6" i="130"/>
  <c r="A5" i="130" l="1"/>
  <c r="D5" i="130" s="1"/>
  <c r="A4" i="130"/>
  <c r="D4" i="130" s="1"/>
  <c r="A3" i="130"/>
  <c r="D3" i="130" s="1"/>
  <c r="B3" i="124" l="1"/>
  <c r="B4" i="124"/>
  <c r="B5" i="124"/>
  <c r="B6" i="124"/>
  <c r="B7" i="124"/>
  <c r="B2" i="124"/>
  <c r="B3" i="122"/>
  <c r="B4" i="122"/>
  <c r="B5" i="122"/>
  <c r="B6" i="122"/>
  <c r="B2" i="122"/>
  <c r="B3" i="128"/>
  <c r="B4" i="128"/>
  <c r="B5" i="128"/>
  <c r="B6" i="128"/>
  <c r="B7" i="128"/>
  <c r="B8" i="128"/>
  <c r="B2" i="128"/>
  <c r="B3" i="129" l="1"/>
  <c r="B4" i="129"/>
  <c r="B5" i="129"/>
  <c r="B2" i="129"/>
  <c r="B3" i="127" l="1"/>
  <c r="B4" i="127"/>
  <c r="B5" i="127"/>
  <c r="B6" i="127"/>
  <c r="B7" i="127"/>
  <c r="B8" i="127"/>
  <c r="B9" i="127"/>
  <c r="B10" i="127"/>
  <c r="B11" i="127"/>
  <c r="B2" i="127"/>
  <c r="B6" i="126"/>
  <c r="B3" i="126"/>
  <c r="B4" i="126"/>
  <c r="B5" i="126"/>
  <c r="B2" i="126"/>
  <c r="B2" i="125"/>
  <c r="E2" i="123"/>
  <c r="B3" i="125"/>
  <c r="B4" i="125"/>
  <c r="B5" i="125"/>
  <c r="B6" i="125"/>
  <c r="B7" i="125"/>
  <c r="B8" i="125"/>
  <c r="B9" i="125"/>
  <c r="B10" i="125"/>
  <c r="B11" i="125"/>
  <c r="E3" i="123"/>
  <c r="E4" i="123"/>
  <c r="E5" i="123"/>
  <c r="E6" i="123"/>
  <c r="E7" i="123"/>
  <c r="E8" i="123"/>
  <c r="E9" i="123"/>
  <c r="E10" i="123"/>
  <c r="E11" i="123"/>
  <c r="E12" i="123"/>
  <c r="D3" i="121" l="1"/>
  <c r="D4" i="121"/>
  <c r="D5" i="121"/>
  <c r="D6" i="121"/>
  <c r="D2" i="121"/>
  <c r="E3" i="120" l="1"/>
  <c r="E4" i="120"/>
  <c r="E5" i="120"/>
  <c r="E6" i="120"/>
  <c r="E7" i="120"/>
  <c r="E8" i="120"/>
  <c r="E9" i="120"/>
  <c r="E10" i="120"/>
  <c r="E11" i="120"/>
  <c r="E2" i="120"/>
  <c r="D3" i="120"/>
  <c r="D4" i="120"/>
  <c r="D5" i="120"/>
  <c r="D6" i="120"/>
  <c r="D7" i="120"/>
  <c r="D8" i="120"/>
  <c r="D9" i="120"/>
  <c r="D10" i="120"/>
  <c r="D11" i="120"/>
  <c r="D2" i="120"/>
  <c r="C3" i="120"/>
  <c r="C4" i="120"/>
  <c r="C5" i="120"/>
  <c r="C6" i="120"/>
  <c r="C7" i="120"/>
  <c r="C8" i="120"/>
  <c r="C9" i="120"/>
  <c r="C10" i="120"/>
  <c r="C11" i="120"/>
  <c r="C2" i="120"/>
  <c r="C3" i="119" l="1"/>
  <c r="C4" i="119"/>
  <c r="C5" i="119"/>
  <c r="C6" i="119"/>
  <c r="C7" i="119"/>
  <c r="C8" i="119"/>
  <c r="C9" i="119"/>
  <c r="C10" i="119"/>
  <c r="C11" i="119"/>
  <c r="C2" i="119"/>
  <c r="C3" i="118"/>
  <c r="C4" i="118"/>
  <c r="C5" i="118"/>
  <c r="C6" i="118"/>
  <c r="C7" i="118"/>
  <c r="C8" i="118"/>
  <c r="C9" i="118"/>
  <c r="C10" i="118"/>
  <c r="C11" i="118"/>
  <c r="C12" i="118"/>
  <c r="C13" i="118"/>
  <c r="C14" i="118"/>
  <c r="C15" i="118"/>
  <c r="C16" i="118"/>
  <c r="C2" i="118"/>
  <c r="C3" i="117"/>
  <c r="C4" i="117"/>
  <c r="C5" i="117"/>
  <c r="C6" i="117"/>
  <c r="C7" i="117"/>
  <c r="C8" i="117"/>
  <c r="C9" i="117"/>
  <c r="C10" i="117"/>
  <c r="C11" i="117"/>
  <c r="C2" i="117"/>
  <c r="B3" i="115"/>
  <c r="B4" i="115"/>
  <c r="B5" i="115"/>
  <c r="B6" i="115"/>
  <c r="B7" i="115"/>
  <c r="B8" i="115"/>
  <c r="B9" i="115"/>
  <c r="B10" i="115"/>
  <c r="B2" i="115"/>
  <c r="E2" i="114" l="1" a="1"/>
  <c r="E2" i="114" s="1"/>
  <c r="E4" i="114" l="1"/>
  <c r="E3" i="114"/>
  <c r="E5" i="114"/>
  <c r="E6" i="114"/>
  <c r="F2" i="113" a="1"/>
  <c r="F2" i="113" s="1"/>
  <c r="B19" i="112"/>
  <c r="E2" i="111"/>
  <c r="F2" i="110" a="1"/>
  <c r="F2" i="110" s="1"/>
  <c r="F2" i="108" a="1"/>
  <c r="F2" i="108" s="1"/>
  <c r="F4" i="113" l="1"/>
  <c r="F3" i="113"/>
  <c r="H4" i="113" s="1"/>
  <c r="F5" i="113"/>
  <c r="F6" i="113"/>
  <c r="F7" i="110"/>
  <c r="F6" i="110"/>
  <c r="F5" i="110"/>
  <c r="F4" i="110"/>
  <c r="F3" i="110"/>
  <c r="F3" i="108"/>
  <c r="F5" i="108"/>
  <c r="F4" i="108"/>
  <c r="F6" i="108"/>
  <c r="B3" i="101"/>
  <c r="C3" i="101"/>
  <c r="B4" i="101"/>
  <c r="C4" i="101"/>
  <c r="B5" i="101"/>
  <c r="C5" i="101"/>
  <c r="B6" i="101"/>
  <c r="C6" i="101"/>
  <c r="B7" i="101"/>
  <c r="B8" i="101"/>
  <c r="C8" i="101"/>
  <c r="B9" i="101"/>
  <c r="C9" i="101"/>
  <c r="C10" i="101"/>
  <c r="B11" i="101"/>
  <c r="C11" i="101"/>
  <c r="C2" i="101"/>
  <c r="B2" i="101"/>
  <c r="G5" i="113" l="1"/>
  <c r="G3" i="113"/>
  <c r="H6" i="113"/>
  <c r="G2" i="113"/>
  <c r="G4" i="113"/>
  <c r="H5" i="113"/>
  <c r="G6" i="113"/>
  <c r="H2" i="113"/>
  <c r="H3" i="113"/>
  <c r="D8" i="100"/>
  <c r="C8" i="100"/>
  <c r="D3" i="97" l="1"/>
  <c r="D4" i="97"/>
  <c r="D5" i="97"/>
  <c r="D6" i="97"/>
  <c r="D7" i="97"/>
  <c r="D8" i="97"/>
  <c r="D9" i="97"/>
  <c r="D10" i="97"/>
  <c r="D11" i="97"/>
  <c r="D2" i="97"/>
  <c r="E3" i="93"/>
  <c r="E4" i="93"/>
  <c r="E5" i="93"/>
  <c r="E6" i="93"/>
  <c r="E7" i="93"/>
  <c r="E2" i="93"/>
  <c r="C3" i="96" l="1"/>
  <c r="C4" i="96"/>
  <c r="C5" i="96"/>
  <c r="C6" i="96"/>
  <c r="C7" i="96"/>
  <c r="C8" i="96"/>
  <c r="C9" i="96"/>
  <c r="C10" i="96"/>
  <c r="C11" i="96"/>
  <c r="C2" i="96"/>
  <c r="F2" i="95"/>
  <c r="B11" i="94" l="1"/>
  <c r="B3" i="94"/>
  <c r="B4" i="94"/>
  <c r="B5" i="94"/>
  <c r="B6" i="94"/>
  <c r="B7" i="94"/>
  <c r="B8" i="94"/>
  <c r="B9" i="94"/>
  <c r="B10" i="94"/>
  <c r="B2" i="94"/>
  <c r="C3" i="92" l="1"/>
  <c r="C4" i="92"/>
  <c r="C5" i="92"/>
  <c r="C6" i="92"/>
  <c r="C7" i="92"/>
  <c r="C8" i="92"/>
  <c r="C9" i="92"/>
  <c r="C10" i="92"/>
  <c r="C11" i="92"/>
  <c r="C2" i="92"/>
  <c r="D2" i="91"/>
  <c r="E1" i="89"/>
  <c r="F2" i="86" l="1"/>
  <c r="F2" i="87" l="1"/>
  <c r="F1" i="86" l="1"/>
  <c r="C3" i="85"/>
  <c r="C4" i="85"/>
  <c r="C5" i="85"/>
  <c r="C6" i="85"/>
  <c r="C2" i="85"/>
  <c r="C3" i="84"/>
  <c r="C4" i="84"/>
  <c r="C5" i="84"/>
  <c r="C6" i="84"/>
  <c r="C7" i="84"/>
  <c r="C8" i="84"/>
  <c r="C9" i="84"/>
  <c r="C10" i="84"/>
  <c r="C2" i="84"/>
  <c r="B3" i="84"/>
  <c r="B4" i="84"/>
  <c r="B5" i="84"/>
  <c r="B6" i="84"/>
  <c r="B7" i="84"/>
  <c r="B8" i="84"/>
  <c r="B9" i="84"/>
  <c r="B10" i="84"/>
  <c r="B2" i="84"/>
  <c r="C6" i="83"/>
  <c r="C3" i="83"/>
  <c r="C4" i="83"/>
  <c r="C5" i="83"/>
  <c r="C2" i="83"/>
  <c r="C3" i="73" l="1"/>
  <c r="C3" i="75" l="1"/>
  <c r="C4" i="75"/>
  <c r="C5" i="75"/>
  <c r="C2" i="75"/>
  <c r="B6" i="82"/>
  <c r="B3" i="82"/>
  <c r="B4" i="82"/>
  <c r="B5" i="82"/>
  <c r="B2" i="82"/>
  <c r="B3" i="81"/>
  <c r="B4" i="81"/>
  <c r="B5" i="81"/>
  <c r="B6" i="81"/>
  <c r="B7" i="81"/>
  <c r="B8" i="81"/>
  <c r="B9" i="81"/>
  <c r="B2" i="81"/>
  <c r="D2" i="80"/>
  <c r="D3" i="77"/>
  <c r="D4" i="77"/>
  <c r="D5" i="77"/>
  <c r="D6" i="77"/>
  <c r="C3" i="79"/>
  <c r="C4" i="79"/>
  <c r="C5" i="79"/>
  <c r="C2" i="79"/>
  <c r="B3" i="79"/>
  <c r="B4" i="79"/>
  <c r="B5" i="79"/>
  <c r="B2" i="79"/>
  <c r="C3" i="78"/>
  <c r="C4" i="78"/>
  <c r="C5" i="78"/>
  <c r="C6" i="78"/>
  <c r="C7" i="78"/>
  <c r="C2" i="78"/>
  <c r="D2" i="77"/>
  <c r="C5" i="73" l="1"/>
  <c r="C2" i="73" l="1"/>
  <c r="C4" i="73"/>
  <c r="B3" i="69" l="1"/>
  <c r="B4" i="69"/>
  <c r="B5" i="69"/>
  <c r="B6" i="69"/>
  <c r="B7" i="69"/>
  <c r="B2" i="69"/>
  <c r="B3" i="68"/>
  <c r="B4" i="68"/>
  <c r="B5" i="68"/>
  <c r="B6" i="68"/>
  <c r="B2" i="68"/>
  <c r="B3" i="67"/>
  <c r="B4" i="67"/>
  <c r="B5" i="67"/>
  <c r="B6" i="67"/>
  <c r="B7" i="67"/>
  <c r="B2" i="67"/>
  <c r="B7" i="65"/>
  <c r="B6" i="65"/>
  <c r="B8" i="65"/>
  <c r="B9" i="64" l="1"/>
  <c r="C3" i="64"/>
  <c r="C4" i="64"/>
  <c r="C5" i="64"/>
  <c r="C6" i="64"/>
  <c r="C7" i="64"/>
  <c r="C2" i="64"/>
  <c r="B10" i="64" l="1"/>
  <c r="E4" i="64" s="1"/>
  <c r="C2" i="63"/>
  <c r="C6" i="63"/>
  <c r="C5" i="63"/>
  <c r="C4" i="63"/>
  <c r="C7" i="63"/>
  <c r="C8" i="63"/>
  <c r="C3" i="63"/>
  <c r="D5" i="64" l="1"/>
  <c r="D4" i="64"/>
  <c r="D7" i="64"/>
  <c r="E6" i="64"/>
  <c r="E2" i="64"/>
  <c r="E3" i="64"/>
  <c r="D3" i="64"/>
  <c r="E7" i="64"/>
  <c r="E5" i="64"/>
  <c r="D6" i="64"/>
  <c r="D2" i="64"/>
  <c r="D3" i="59"/>
  <c r="D4" i="59"/>
  <c r="D5" i="59"/>
  <c r="D6" i="59"/>
  <c r="D7" i="59"/>
  <c r="D2" i="59"/>
  <c r="D3" i="60" l="1"/>
  <c r="D4" i="60"/>
  <c r="D5" i="60"/>
  <c r="D6" i="60"/>
  <c r="D2" i="60"/>
  <c r="B13" i="58" l="1"/>
  <c r="B5" i="58"/>
  <c r="C3" i="57"/>
  <c r="C4" i="57"/>
  <c r="C5" i="57"/>
  <c r="C6" i="57"/>
  <c r="C7" i="57"/>
  <c r="C8" i="57"/>
  <c r="C9" i="57"/>
  <c r="C10" i="57"/>
  <c r="C11" i="57"/>
  <c r="C2" i="57"/>
  <c r="C2" i="56"/>
  <c r="C3" i="56"/>
  <c r="C4" i="56"/>
  <c r="C5" i="56"/>
  <c r="C6" i="56"/>
  <c r="C7" i="56"/>
  <c r="C8" i="56"/>
  <c r="C9" i="56"/>
  <c r="C10" i="56"/>
  <c r="C11" i="56"/>
  <c r="C3" i="55" l="1"/>
  <c r="C4" i="55"/>
  <c r="C5" i="55"/>
  <c r="C6" i="55"/>
  <c r="C2" i="55"/>
  <c r="D3" i="32" l="1"/>
  <c r="D4" i="32"/>
  <c r="D5" i="32"/>
  <c r="D6" i="32"/>
  <c r="D7" i="32"/>
  <c r="D8" i="32"/>
  <c r="D9" i="32"/>
  <c r="D10" i="32"/>
  <c r="D11" i="32"/>
  <c r="D12" i="32"/>
  <c r="D13" i="32"/>
  <c r="D14" i="32"/>
  <c r="D2" i="32"/>
  <c r="C3" i="32"/>
  <c r="C4" i="32"/>
  <c r="C5" i="32"/>
  <c r="C6" i="32"/>
  <c r="C7" i="32"/>
  <c r="C8" i="32"/>
  <c r="C9" i="32"/>
  <c r="C10" i="32"/>
  <c r="C11" i="32"/>
  <c r="C12" i="32"/>
  <c r="C13" i="32"/>
  <c r="C14" i="32"/>
  <c r="C2" i="32"/>
  <c r="B3" i="32" l="1"/>
  <c r="B4" i="32"/>
  <c r="B5" i="32" s="1"/>
  <c r="B6" i="32" s="1"/>
  <c r="B7" i="32" s="1"/>
  <c r="B8" i="32" s="1"/>
  <c r="B9" i="32" s="1"/>
  <c r="B10" i="32" s="1"/>
  <c r="B11" i="32" s="1"/>
  <c r="B12" i="32" s="1"/>
  <c r="B13" i="32" s="1"/>
  <c r="B14" i="32" s="1"/>
  <c r="B15" i="32" s="1"/>
  <c r="B9" i="14" a="1"/>
  <c r="B9" i="14" s="1"/>
  <c r="C7" i="14" a="1"/>
  <c r="C7" i="14" s="1"/>
  <c r="D11" i="21"/>
  <c r="D10" i="21"/>
  <c r="D9" i="21"/>
  <c r="D8" i="21"/>
  <c r="D7" i="21"/>
  <c r="D6" i="21"/>
  <c r="D5" i="21"/>
  <c r="D4" i="21"/>
  <c r="D3" i="21"/>
  <c r="D2" i="21"/>
  <c r="B16" i="19"/>
  <c r="B15" i="19"/>
  <c r="B14" i="19"/>
  <c r="B13" i="19"/>
  <c r="B12" i="19"/>
  <c r="B11" i="19"/>
  <c r="B10" i="19"/>
  <c r="B9" i="19"/>
  <c r="B8" i="19"/>
  <c r="B7" i="19"/>
  <c r="B6" i="19"/>
  <c r="B5" i="19"/>
  <c r="B4" i="19"/>
  <c r="B3" i="19"/>
  <c r="B2" i="19"/>
  <c r="E11" i="20"/>
  <c r="E10" i="20"/>
  <c r="E9" i="20"/>
  <c r="E8" i="20"/>
  <c r="E7" i="20"/>
  <c r="E6" i="20"/>
  <c r="E5" i="20"/>
  <c r="E4" i="20"/>
  <c r="E3" i="20"/>
  <c r="E2" i="20"/>
  <c r="D6" i="17"/>
  <c r="D5" i="17"/>
  <c r="D4" i="17"/>
  <c r="D3" i="17"/>
  <c r="D2" i="17"/>
  <c r="F2" i="12" a="1"/>
  <c r="F2" i="12" s="1"/>
  <c r="A9" i="13" a="1"/>
  <c r="D11" i="13" s="1"/>
  <c r="D2" i="9" a="1"/>
  <c r="D11" i="9" s="1"/>
  <c r="D10" i="11"/>
  <c r="D9" i="11"/>
  <c r="D8" i="11"/>
  <c r="D7" i="11"/>
  <c r="D6" i="11"/>
  <c r="D5" i="11"/>
  <c r="D4" i="11"/>
  <c r="H3" i="11" a="1"/>
  <c r="H3" i="11" s="1"/>
  <c r="D3" i="11"/>
  <c r="D2" i="11"/>
  <c r="B15" i="10" a="1"/>
  <c r="B15" i="10" s="1"/>
  <c r="D4" i="8"/>
  <c r="D2" i="8" a="1"/>
  <c r="D5" i="8" s="1"/>
  <c r="A9" i="6"/>
  <c r="A8" i="6"/>
  <c r="A7" i="6"/>
  <c r="A6" i="6"/>
  <c r="A5" i="6"/>
  <c r="A4" i="6"/>
  <c r="A3" i="6"/>
  <c r="A2" i="6"/>
  <c r="C6" i="5"/>
  <c r="C5" i="5"/>
  <c r="C4" i="5"/>
  <c r="C3" i="5"/>
  <c r="C2" i="5"/>
  <c r="H2" i="11" l="1"/>
  <c r="D2" i="8"/>
  <c r="D7" i="8"/>
  <c r="D8" i="9"/>
  <c r="D6" i="8"/>
  <c r="D4" i="9"/>
  <c r="D3" i="8"/>
  <c r="I3" i="11"/>
  <c r="I2" i="11"/>
  <c r="D5" i="9"/>
  <c r="D9" i="9"/>
  <c r="A9" i="13"/>
  <c r="E9" i="13"/>
  <c r="C10" i="13"/>
  <c r="A11" i="13"/>
  <c r="E11" i="13"/>
  <c r="D2" i="9"/>
  <c r="D6" i="9"/>
  <c r="D10" i="9"/>
  <c r="B9" i="13"/>
  <c r="F9" i="13"/>
  <c r="D10" i="13"/>
  <c r="B11" i="13"/>
  <c r="F11" i="13"/>
  <c r="D3" i="9"/>
  <c r="D7" i="9"/>
  <c r="C9" i="13"/>
  <c r="A10" i="13"/>
  <c r="E10" i="13"/>
  <c r="C11" i="13"/>
  <c r="D9" i="13"/>
  <c r="B10" i="13"/>
  <c r="F10" i="13"/>
</calcChain>
</file>

<file path=xl/sharedStrings.xml><?xml version="1.0" encoding="utf-8"?>
<sst xmlns="http://schemas.openxmlformats.org/spreadsheetml/2006/main" count="9770" uniqueCount="5464">
  <si>
    <t>Student</t>
  </si>
  <si>
    <t>Grade</t>
  </si>
  <si>
    <t>Rank- Academics</t>
  </si>
  <si>
    <t>Stewart White</t>
  </si>
  <si>
    <t>Angela Tran</t>
  </si>
  <si>
    <t>Terrell Robbins</t>
  </si>
  <si>
    <t>Eileen Park</t>
  </si>
  <si>
    <t>Paula Daniel</t>
  </si>
  <si>
    <t>Yolanda Cruz</t>
  </si>
  <si>
    <t>Value 1</t>
  </si>
  <si>
    <t>Value 2</t>
  </si>
  <si>
    <t>Mathematical Operation</t>
  </si>
  <si>
    <t>Comments</t>
  </si>
  <si>
    <t>▪ The sum of values 1 and 2 is 300.</t>
  </si>
  <si>
    <t>▪ The difference between values 1 and 2 is 150.</t>
  </si>
  <si>
    <t>▪ The product of values 1 and 2 is 300000.</t>
  </si>
  <si>
    <t>▪ The division of values 1 and 2 is 5.</t>
  </si>
  <si>
    <t>▪ The modulus of values 1 and 2 is 0.</t>
  </si>
  <si>
    <t>ASCII Character</t>
  </si>
  <si>
    <t>ASCII Code</t>
  </si>
  <si>
    <t>Currency</t>
  </si>
  <si>
    <t>Japan</t>
  </si>
  <si>
    <t>Yen</t>
  </si>
  <si>
    <t>¥</t>
  </si>
  <si>
    <t>India</t>
  </si>
  <si>
    <t>Rupee</t>
  </si>
  <si>
    <t>₹</t>
  </si>
  <si>
    <t>Thailand</t>
  </si>
  <si>
    <t>Baht</t>
  </si>
  <si>
    <t>฿</t>
  </si>
  <si>
    <t>Country</t>
  </si>
  <si>
    <t>Symbol</t>
  </si>
  <si>
    <t>Month</t>
  </si>
  <si>
    <t>Year</t>
  </si>
  <si>
    <t>Annual Salary in $</t>
  </si>
  <si>
    <t>Annual Increment in $</t>
  </si>
  <si>
    <t>Total Annual Earnings in $</t>
  </si>
  <si>
    <t>Grant Green</t>
  </si>
  <si>
    <t>Monique Graham</t>
  </si>
  <si>
    <t>Carlos Hernandez</t>
  </si>
  <si>
    <t>Rosalie Fleming</t>
  </si>
  <si>
    <t>Dustin Stone</t>
  </si>
  <si>
    <t>Rebecca Burton</t>
  </si>
  <si>
    <t>Heidi Diaz</t>
  </si>
  <si>
    <t>Violet Mckinney</t>
  </si>
  <si>
    <t>Christina Lamb</t>
  </si>
  <si>
    <t>Natalie Hudson</t>
  </si>
  <si>
    <t>January</t>
  </si>
  <si>
    <t>February</t>
  </si>
  <si>
    <t>March</t>
  </si>
  <si>
    <t>April</t>
  </si>
  <si>
    <t>May</t>
  </si>
  <si>
    <t>June</t>
  </si>
  <si>
    <t>July</t>
  </si>
  <si>
    <t>August</t>
  </si>
  <si>
    <t>September</t>
  </si>
  <si>
    <t>October</t>
  </si>
  <si>
    <t>November</t>
  </si>
  <si>
    <t>December</t>
  </si>
  <si>
    <t>Total Savings in $</t>
  </si>
  <si>
    <t>Monthly Income in $</t>
  </si>
  <si>
    <t>Monthly Expenses in $</t>
  </si>
  <si>
    <t>Apple iPhone 13 Pro Max</t>
  </si>
  <si>
    <t>Samsung Galaxy A32 5G</t>
  </si>
  <si>
    <t>Samsung Galaxy S10</t>
  </si>
  <si>
    <t>Apple iPhone XR</t>
  </si>
  <si>
    <t>Samsung Galaxy A10e</t>
  </si>
  <si>
    <t>Apple iPhone 11 Pro</t>
  </si>
  <si>
    <t>Samsung Galaxy A12</t>
  </si>
  <si>
    <t>Samsung Galaxy A20</t>
  </si>
  <si>
    <t>Apple iPhone XS Max</t>
  </si>
  <si>
    <t>Jul to Dec - Units Sold</t>
  </si>
  <si>
    <t>Jan to Jun - Units Sold</t>
  </si>
  <si>
    <t>Least Units Sold Difference</t>
  </si>
  <si>
    <t>Units Sold - Difference</t>
  </si>
  <si>
    <t>Smartphone</t>
  </si>
  <si>
    <t>(Using Standard Excel Formula)</t>
  </si>
  <si>
    <t>(Using Array Formula)</t>
  </si>
  <si>
    <t>Smartphone Model</t>
  </si>
  <si>
    <t>Units Bought</t>
  </si>
  <si>
    <t>Price Per Unit in $</t>
  </si>
  <si>
    <t xml:space="preserve">Seafood </t>
  </si>
  <si>
    <t>Salmon steaks</t>
  </si>
  <si>
    <t>Fillet of catfish</t>
  </si>
  <si>
    <t>Tuna fillet</t>
  </si>
  <si>
    <t>Shrimp</t>
  </si>
  <si>
    <t>Crab</t>
  </si>
  <si>
    <t>Total Expenses in $</t>
  </si>
  <si>
    <t>Overall English Score Out of 100</t>
  </si>
  <si>
    <t>Credits Out of 20</t>
  </si>
  <si>
    <t>English Score Out of 80</t>
  </si>
  <si>
    <t>China</t>
  </si>
  <si>
    <t>United States</t>
  </si>
  <si>
    <t>Indonesia</t>
  </si>
  <si>
    <t>Pakistan</t>
  </si>
  <si>
    <t>Rank</t>
  </si>
  <si>
    <t>Population</t>
  </si>
  <si>
    <t>Subject</t>
  </si>
  <si>
    <t>History</t>
  </si>
  <si>
    <t>Geography</t>
  </si>
  <si>
    <t>Economics</t>
  </si>
  <si>
    <t>English</t>
  </si>
  <si>
    <t>French</t>
  </si>
  <si>
    <t>Project Score (25)</t>
  </si>
  <si>
    <t>Theory Marks (75)</t>
  </si>
  <si>
    <t>Average Score</t>
  </si>
  <si>
    <t>Average Score in %</t>
  </si>
  <si>
    <t>Salmon fillet</t>
  </si>
  <si>
    <t>Day</t>
  </si>
  <si>
    <t>Day 1</t>
  </si>
  <si>
    <t>Day 2</t>
  </si>
  <si>
    <t>Day 3</t>
  </si>
  <si>
    <t>Day 4</t>
  </si>
  <si>
    <t>Day 5</t>
  </si>
  <si>
    <t>Day 6</t>
  </si>
  <si>
    <t>Day 7</t>
  </si>
  <si>
    <t>Maximum Temperature in °F</t>
  </si>
  <si>
    <t>Minimum Temperature in °F</t>
  </si>
  <si>
    <t>96°</t>
  </si>
  <si>
    <t>76°</t>
  </si>
  <si>
    <t>92°</t>
  </si>
  <si>
    <t>74°</t>
  </si>
  <si>
    <t>72°</t>
  </si>
  <si>
    <t>83°</t>
  </si>
  <si>
    <t>71°</t>
  </si>
  <si>
    <t>81°</t>
  </si>
  <si>
    <t>75°</t>
  </si>
  <si>
    <t>91°</t>
  </si>
  <si>
    <t>Monthly Earnings in $</t>
  </si>
  <si>
    <t>Monthly Savings in $</t>
  </si>
  <si>
    <t>Item</t>
  </si>
  <si>
    <t>Item 1</t>
  </si>
  <si>
    <t>Item 2</t>
  </si>
  <si>
    <t>Item 3</t>
  </si>
  <si>
    <t>Item 4</t>
  </si>
  <si>
    <t>Item 5</t>
  </si>
  <si>
    <t>Price in $</t>
  </si>
  <si>
    <t>Discount in %</t>
  </si>
  <si>
    <t>Final Price in $</t>
  </si>
  <si>
    <t>Christy Cortez</t>
  </si>
  <si>
    <t>Robyn Wilson</t>
  </si>
  <si>
    <t>Kate Marsh</t>
  </si>
  <si>
    <t>Orlando Mendez</t>
  </si>
  <si>
    <t>Christopher Griffin</t>
  </si>
  <si>
    <t>Paula Jones</t>
  </si>
  <si>
    <t>Dixie Sanders</t>
  </si>
  <si>
    <t>Morris Evans</t>
  </si>
  <si>
    <t>Ronnie Mack</t>
  </si>
  <si>
    <t>Darrin Martinez</t>
  </si>
  <si>
    <t>Chemistry (30)</t>
  </si>
  <si>
    <t>Biology (30)</t>
  </si>
  <si>
    <t>Total Score (100)</t>
  </si>
  <si>
    <t>Physics (40)</t>
  </si>
  <si>
    <t>Number</t>
  </si>
  <si>
    <t>Square Value</t>
  </si>
  <si>
    <t>Employee</t>
  </si>
  <si>
    <t>Employee ID</t>
  </si>
  <si>
    <t>Seat Number</t>
  </si>
  <si>
    <t>Workstation ID</t>
  </si>
  <si>
    <t>Myrtle Goodwin</t>
  </si>
  <si>
    <t>Spencer Marshall</t>
  </si>
  <si>
    <t>Caroline Martin</t>
  </si>
  <si>
    <t>Tina Ward</t>
  </si>
  <si>
    <t>Fernando Strickland</t>
  </si>
  <si>
    <t>Virgil Stevenson</t>
  </si>
  <si>
    <t>Janice Barber</t>
  </si>
  <si>
    <t>Rolando Walters</t>
  </si>
  <si>
    <t>Alice Scott</t>
  </si>
  <si>
    <t>Ed Graves</t>
  </si>
  <si>
    <t>NDD091</t>
  </si>
  <si>
    <t>NDD092</t>
  </si>
  <si>
    <t>NDD093</t>
  </si>
  <si>
    <t>NDD094</t>
  </si>
  <si>
    <t>NDD095</t>
  </si>
  <si>
    <t>NDD096</t>
  </si>
  <si>
    <t>NDD097</t>
  </si>
  <si>
    <t>NDD098</t>
  </si>
  <si>
    <t>NDD099</t>
  </si>
  <si>
    <t>NDD100</t>
  </si>
  <si>
    <t>S10</t>
  </si>
  <si>
    <t>S20</t>
  </si>
  <si>
    <t>S25</t>
  </si>
  <si>
    <t>S33</t>
  </si>
  <si>
    <t>S42</t>
  </si>
  <si>
    <t>S53</t>
  </si>
  <si>
    <t>S55</t>
  </si>
  <si>
    <t>S64</t>
  </si>
  <si>
    <t>S92</t>
  </si>
  <si>
    <t>S88</t>
  </si>
  <si>
    <t>=B2-C2</t>
  </si>
  <si>
    <t>=B3-C3</t>
  </si>
  <si>
    <t>=B4-C4</t>
  </si>
  <si>
    <t>=B5-C5</t>
  </si>
  <si>
    <t>=B6-C6</t>
  </si>
  <si>
    <t>=B7-C7</t>
  </si>
  <si>
    <t>=B8-C8</t>
  </si>
  <si>
    <t>=B9-C9</t>
  </si>
  <si>
    <t>=B10-C10</t>
  </si>
  <si>
    <t>=B11-C11</t>
  </si>
  <si>
    <t>=B12-C12</t>
  </si>
  <si>
    <t>=B13-C13</t>
  </si>
  <si>
    <t>Product</t>
  </si>
  <si>
    <t>Sales In $ - January</t>
  </si>
  <si>
    <t>Sales In $ - February</t>
  </si>
  <si>
    <t>Sales In $ - March</t>
  </si>
  <si>
    <t>Apple MacBook Pro (13-inch, M1)</t>
  </si>
  <si>
    <t>Apple MacBook Air (M1, 2020)</t>
  </si>
  <si>
    <t>Dell XPS 13 OLED (2021)</t>
  </si>
  <si>
    <t>Acer Swift 3 (Late 2021)</t>
  </si>
  <si>
    <t>Dell XPS 13 2-in-1</t>
  </si>
  <si>
    <t>Units Sold</t>
  </si>
  <si>
    <t>Item 6</t>
  </si>
  <si>
    <t>Item 7</t>
  </si>
  <si>
    <t>Item 8</t>
  </si>
  <si>
    <t>Item 9</t>
  </si>
  <si>
    <t>Item 10</t>
  </si>
  <si>
    <t>Bruce Clark</t>
  </si>
  <si>
    <t>Julian Thomas</t>
  </si>
  <si>
    <t>Gilbert Haynes</t>
  </si>
  <si>
    <t>Jose Dean</t>
  </si>
  <si>
    <t>Mamie Knight</t>
  </si>
  <si>
    <t>Daisy Delgado</t>
  </si>
  <si>
    <t>Wanda Fernandez</t>
  </si>
  <si>
    <t>Ben Copeland</t>
  </si>
  <si>
    <t>Albert Baker</t>
  </si>
  <si>
    <t>Erma Burns</t>
  </si>
  <si>
    <t>Aggregate</t>
  </si>
  <si>
    <t>Overall Rank</t>
  </si>
  <si>
    <t>Order Number</t>
  </si>
  <si>
    <t>Item Code</t>
  </si>
  <si>
    <t>Delivery Status</t>
  </si>
  <si>
    <t>XL_101</t>
  </si>
  <si>
    <t>XL_211</t>
  </si>
  <si>
    <t>XL_110</t>
  </si>
  <si>
    <t>XL_115</t>
  </si>
  <si>
    <t>XL_120</t>
  </si>
  <si>
    <t>Residential Address</t>
  </si>
  <si>
    <t>Contact Number</t>
  </si>
  <si>
    <t>Date Of Joining</t>
  </si>
  <si>
    <t>Car Parking Pass</t>
  </si>
  <si>
    <t>Employee Name</t>
  </si>
  <si>
    <t>Sammy Hudson</t>
  </si>
  <si>
    <t>Tyrone Morrison</t>
  </si>
  <si>
    <t>Doreen Thompson</t>
  </si>
  <si>
    <t>Bert Franklin</t>
  </si>
  <si>
    <t>Kellie Jimenez</t>
  </si>
  <si>
    <t>Alexander Floyd</t>
  </si>
  <si>
    <t>Natalie George</t>
  </si>
  <si>
    <t>Andrew Burns</t>
  </si>
  <si>
    <t>Brent Conner</t>
  </si>
  <si>
    <t>1779 Navarro Ave, Pasadena, California(CA), 91103</t>
  </si>
  <si>
    <t>135 E Holly St #408, Pasadena, California(CA), 91103</t>
  </si>
  <si>
    <t>1481 Glen Ave, Pasadena, California(CA), 91103</t>
  </si>
  <si>
    <t>201 N Orange Grove Blvd #UNT 501, Pasadena, California(CA), 91103</t>
  </si>
  <si>
    <t>1015 Prospect Blvd, Pasadena, California(CA), 91103</t>
  </si>
  <si>
    <t>477 W Claremont St, Pasadena, California(CA), 91103</t>
  </si>
  <si>
    <t>2023 Rosemont Ave #2, Pasadena, California(CA), 91103</t>
  </si>
  <si>
    <t>74 N Pasadena Ave #3RD, Pasadena, California(CA), 91103</t>
  </si>
  <si>
    <t>861 N Raymond Ave, Pasadena, California(CA), 91103</t>
  </si>
  <si>
    <t>(626) 296-0707</t>
  </si>
  <si>
    <t>(626) 396-9116</t>
  </si>
  <si>
    <t>(626) 529-3395</t>
  </si>
  <si>
    <t>(626) 578-1012</t>
  </si>
  <si>
    <t>(626) 744-0354</t>
  </si>
  <si>
    <t>(626) 794-7131</t>
  </si>
  <si>
    <t>(626) 798-9971</t>
  </si>
  <si>
    <t>(650) 320-7301</t>
  </si>
  <si>
    <t>(626) 529-5243</t>
  </si>
  <si>
    <t>EMP_10</t>
  </si>
  <si>
    <t>EMP_16</t>
  </si>
  <si>
    <t>EMP_11</t>
  </si>
  <si>
    <t>EMP_15</t>
  </si>
  <si>
    <t>EMP_13</t>
  </si>
  <si>
    <t>EMP_17</t>
  </si>
  <si>
    <t>EMP_14</t>
  </si>
  <si>
    <t>EMP_12</t>
  </si>
  <si>
    <t>EMP_18</t>
  </si>
  <si>
    <t>WEMP_21</t>
  </si>
  <si>
    <t>WEMP_25</t>
  </si>
  <si>
    <t>WEMP_39</t>
  </si>
  <si>
    <t>WEMP_41</t>
  </si>
  <si>
    <t>WEMP_52</t>
  </si>
  <si>
    <t>WEMP_56</t>
  </si>
  <si>
    <t>WEMP_60</t>
  </si>
  <si>
    <t>WEMP_66</t>
  </si>
  <si>
    <t>WEMP_80</t>
  </si>
  <si>
    <t>Yes</t>
  </si>
  <si>
    <t>No</t>
  </si>
  <si>
    <t>Score</t>
  </si>
  <si>
    <t>Revenue in $</t>
  </si>
  <si>
    <t>Small Ventures' Contribution To Company Revenue</t>
  </si>
  <si>
    <t>Final Income - 2019</t>
  </si>
  <si>
    <t>Initial Revenue - 2018</t>
  </si>
  <si>
    <t>SV 1</t>
  </si>
  <si>
    <t>SV 2</t>
  </si>
  <si>
    <t>SV 3</t>
  </si>
  <si>
    <t>SV 4</t>
  </si>
  <si>
    <t>SV 5</t>
  </si>
  <si>
    <t>Revenue Variation Factors</t>
  </si>
  <si>
    <t>Initial Revenue</t>
  </si>
  <si>
    <t>Goods Purchase Expenses</t>
  </si>
  <si>
    <t>Miscellaneous Expenses</t>
  </si>
  <si>
    <t>Net Income</t>
  </si>
  <si>
    <t>Labor Costs</t>
  </si>
  <si>
    <t>Mid Year Profits</t>
  </si>
  <si>
    <t>Time</t>
  </si>
  <si>
    <t>Initial</t>
  </si>
  <si>
    <t>Jan</t>
  </si>
  <si>
    <t>Feb</t>
  </si>
  <si>
    <t>Mar</t>
  </si>
  <si>
    <t>Apr</t>
  </si>
  <si>
    <t>Jun</t>
  </si>
  <si>
    <t>Jul</t>
  </si>
  <si>
    <t>Aug</t>
  </si>
  <si>
    <t>Sep</t>
  </si>
  <si>
    <t>Oct</t>
  </si>
  <si>
    <t>Nov</t>
  </si>
  <si>
    <t>Dec</t>
  </si>
  <si>
    <t>End</t>
  </si>
  <si>
    <t>Sales in $</t>
  </si>
  <si>
    <t>Base</t>
  </si>
  <si>
    <t>Decrease</t>
  </si>
  <si>
    <t>Increase</t>
  </si>
  <si>
    <t>Sales_Representative</t>
  </si>
  <si>
    <t>Charlotte Watts</t>
  </si>
  <si>
    <t>Lloyd West</t>
  </si>
  <si>
    <t>Peter Brady</t>
  </si>
  <si>
    <t>Jorge Brooks</t>
  </si>
  <si>
    <t>Bonnie Sanders</t>
  </si>
  <si>
    <t>Katrina Mendez</t>
  </si>
  <si>
    <t>Tanya Webster</t>
  </si>
  <si>
    <t>Eddie Vaughn</t>
  </si>
  <si>
    <t>Angel Morton</t>
  </si>
  <si>
    <t>XT_912</t>
  </si>
  <si>
    <t>DL_540</t>
  </si>
  <si>
    <t>FK_831</t>
  </si>
  <si>
    <t>Row Labels</t>
  </si>
  <si>
    <t>Grand Total</t>
  </si>
  <si>
    <t>Column Labels</t>
  </si>
  <si>
    <t>Sum of Sales in $</t>
  </si>
  <si>
    <t>Apple</t>
  </si>
  <si>
    <t>Orange</t>
  </si>
  <si>
    <t>Banana</t>
  </si>
  <si>
    <t>Peach</t>
  </si>
  <si>
    <t>Strawberry</t>
  </si>
  <si>
    <t>Watermelon</t>
  </si>
  <si>
    <t>Pear</t>
  </si>
  <si>
    <t>California</t>
  </si>
  <si>
    <t>Texas</t>
  </si>
  <si>
    <t>Florida</t>
  </si>
  <si>
    <t>Virginia</t>
  </si>
  <si>
    <t>Georgia</t>
  </si>
  <si>
    <t>State</t>
  </si>
  <si>
    <t>(All)</t>
  </si>
  <si>
    <t>Fruit</t>
  </si>
  <si>
    <t>Number of Units</t>
  </si>
  <si>
    <t>Sum of Number of Units</t>
  </si>
  <si>
    <t>Quantity</t>
  </si>
  <si>
    <t>Total Amount in $</t>
  </si>
  <si>
    <t>T-shirt</t>
  </si>
  <si>
    <t>Cotton Shirt</t>
  </si>
  <si>
    <t>Summer Pants</t>
  </si>
  <si>
    <t>Jeans</t>
  </si>
  <si>
    <t>Linen Shirt</t>
  </si>
  <si>
    <t>Silk Shirt</t>
  </si>
  <si>
    <t>Price Band</t>
  </si>
  <si>
    <t>Low</t>
  </si>
  <si>
    <t>High</t>
  </si>
  <si>
    <t>Sum of Quantity</t>
  </si>
  <si>
    <t>Designation</t>
  </si>
  <si>
    <t>Appraisal Rating</t>
  </si>
  <si>
    <t>Bert Green</t>
  </si>
  <si>
    <t>Hugo Glover</t>
  </si>
  <si>
    <t>Kyle Austin</t>
  </si>
  <si>
    <t>Marvin Figueroa</t>
  </si>
  <si>
    <t>Crystal Lane</t>
  </si>
  <si>
    <t>Nina Buchanan</t>
  </si>
  <si>
    <t>Edmund Graves</t>
  </si>
  <si>
    <t>Marty Chapman</t>
  </si>
  <si>
    <t>Darryl Simon</t>
  </si>
  <si>
    <t>Vanessa Byrd</t>
  </si>
  <si>
    <t>Engineer</t>
  </si>
  <si>
    <t>Senior Engineer</t>
  </si>
  <si>
    <t>Specialist</t>
  </si>
  <si>
    <t>Hike%</t>
  </si>
  <si>
    <t>Bonus%</t>
  </si>
  <si>
    <t>Sum of Hike%</t>
  </si>
  <si>
    <t>Branch Office</t>
  </si>
  <si>
    <t>BO 1</t>
  </si>
  <si>
    <t>BO 3</t>
  </si>
  <si>
    <t>BO 4</t>
  </si>
  <si>
    <t>BO 5</t>
  </si>
  <si>
    <t>BO 2</t>
  </si>
  <si>
    <t>Sum of Revenue in $</t>
  </si>
  <si>
    <t>Mathematics</t>
  </si>
  <si>
    <t>Physics</t>
  </si>
  <si>
    <t>Chemistry</t>
  </si>
  <si>
    <t>Biology</t>
  </si>
  <si>
    <t>Allen</t>
  </si>
  <si>
    <t>Kelly</t>
  </si>
  <si>
    <t>Simon</t>
  </si>
  <si>
    <t>Mindy</t>
  </si>
  <si>
    <t>Sum of Score</t>
  </si>
  <si>
    <t>Item_Code</t>
  </si>
  <si>
    <t>Buck Mason T-shirt</t>
  </si>
  <si>
    <t>Everlane Crew T-shirt</t>
  </si>
  <si>
    <t>Mott &amp; Bow T-shirt</t>
  </si>
  <si>
    <t>Mack Weldon T-shirt</t>
  </si>
  <si>
    <t>David Archy T-shirt</t>
  </si>
  <si>
    <t>TS21433</t>
  </si>
  <si>
    <t>TS34686</t>
  </si>
  <si>
    <t>TS29340</t>
  </si>
  <si>
    <t>TS22065</t>
  </si>
  <si>
    <t>TS31890</t>
  </si>
  <si>
    <t>Barcode</t>
  </si>
  <si>
    <t>PD_1</t>
  </si>
  <si>
    <t>PD_2</t>
  </si>
  <si>
    <t>PD_3</t>
  </si>
  <si>
    <t>PD_4</t>
  </si>
  <si>
    <t>PD_5</t>
  </si>
  <si>
    <t>PD_6</t>
  </si>
  <si>
    <t>PD_7</t>
  </si>
  <si>
    <t>PD_8</t>
  </si>
  <si>
    <t>PD_9</t>
  </si>
  <si>
    <t>PD_10</t>
  </si>
  <si>
    <t>Product ID</t>
  </si>
  <si>
    <t>Product Barcode</t>
  </si>
  <si>
    <t>PD010</t>
  </si>
  <si>
    <t>PD011</t>
  </si>
  <si>
    <t>PD012</t>
  </si>
  <si>
    <t>PD013</t>
  </si>
  <si>
    <t>PD014</t>
  </si>
  <si>
    <t>PD015</t>
  </si>
  <si>
    <t>PD016</t>
  </si>
  <si>
    <t>PD017</t>
  </si>
  <si>
    <t>PD018</t>
  </si>
  <si>
    <t>PD019</t>
  </si>
  <si>
    <t>Acer Swift 3</t>
  </si>
  <si>
    <t>AS24658910</t>
  </si>
  <si>
    <t>DXPS53197632</t>
  </si>
  <si>
    <t>Product Code</t>
  </si>
  <si>
    <t>Delivery Date</t>
  </si>
  <si>
    <t>Samsung Galaxy Z Fold3 5G</t>
  </si>
  <si>
    <t>Samsung Galaxy S21 Ultra 5G</t>
  </si>
  <si>
    <t>Apple iPhone 13 Pro</t>
  </si>
  <si>
    <t>Samsung Galaxy Note20 Ultra 5G</t>
  </si>
  <si>
    <t>OnePlus 9 Pro</t>
  </si>
  <si>
    <t>Textbook Edition</t>
  </si>
  <si>
    <t>Textbook Code</t>
  </si>
  <si>
    <t>MAT1329845</t>
  </si>
  <si>
    <t>ENG1803820</t>
  </si>
  <si>
    <t>HIS9803418</t>
  </si>
  <si>
    <t>GEO2398571</t>
  </si>
  <si>
    <t>ECO3449872</t>
  </si>
  <si>
    <t>Smartphone Model Code</t>
  </si>
  <si>
    <t>Smartphone Model Barcode</t>
  </si>
  <si>
    <t>APP56480721</t>
  </si>
  <si>
    <t>SAM56500322</t>
  </si>
  <si>
    <t>SAM57500540</t>
  </si>
  <si>
    <t>APP58932980</t>
  </si>
  <si>
    <t>SAM59129993</t>
  </si>
  <si>
    <t>ONE59927358</t>
  </si>
  <si>
    <t>Customer Complaint</t>
  </si>
  <si>
    <t>Complaint Frequency</t>
  </si>
  <si>
    <t>High Service Charges</t>
  </si>
  <si>
    <t>Delayed Delivery</t>
  </si>
  <si>
    <t>Over-priced Commodities</t>
  </si>
  <si>
    <t>Poor Customer Service</t>
  </si>
  <si>
    <t>Fake Products</t>
  </si>
  <si>
    <t>Count</t>
  </si>
  <si>
    <t>Software Issue Reported</t>
  </si>
  <si>
    <t>Bugs</t>
  </si>
  <si>
    <t>Poor UI</t>
  </si>
  <si>
    <t>Application Crash</t>
  </si>
  <si>
    <t>Poor Tech Support</t>
  </si>
  <si>
    <t>Inadequate Features</t>
  </si>
  <si>
    <t>Overpriced</t>
  </si>
  <si>
    <t>Defect Cause</t>
  </si>
  <si>
    <t>Cause_1</t>
  </si>
  <si>
    <t>Cause_2</t>
  </si>
  <si>
    <t>Cause_3</t>
  </si>
  <si>
    <t>Cause_4</t>
  </si>
  <si>
    <t>Cause_5</t>
  </si>
  <si>
    <t>Cause_6</t>
  </si>
  <si>
    <t>Cause_7</t>
  </si>
  <si>
    <t>Cumulative Total %</t>
  </si>
  <si>
    <t>Customer Support - Complaints</t>
  </si>
  <si>
    <t>Number of Complaints</t>
  </si>
  <si>
    <t>Transferring Customer Calls</t>
  </si>
  <si>
    <t>Lack Of Right Tools</t>
  </si>
  <si>
    <t>No Escalation Protocol</t>
  </si>
  <si>
    <t>Extended Resolution Time</t>
  </si>
  <si>
    <t>Call Disconnection</t>
  </si>
  <si>
    <t>Incompetent Representatives</t>
  </si>
  <si>
    <t>Highlighted Bars</t>
  </si>
  <si>
    <t>Remaining Bars</t>
  </si>
  <si>
    <t>Target</t>
  </si>
  <si>
    <t>Cumulative Value</t>
  </si>
  <si>
    <t>Scroll Bar Value</t>
  </si>
  <si>
    <t>Text Data</t>
  </si>
  <si>
    <t>Case</t>
  </si>
  <si>
    <t>UPPER</t>
  </si>
  <si>
    <t>LOWER</t>
  </si>
  <si>
    <t>PROPER</t>
  </si>
  <si>
    <t>This is an example of change case in Excel.</t>
  </si>
  <si>
    <t>Updated Text Data</t>
  </si>
  <si>
    <t>Formula</t>
  </si>
  <si>
    <r>
      <t xml:space="preserve">Formula in cell B8: </t>
    </r>
    <r>
      <rPr>
        <b/>
        <sz val="11"/>
        <color theme="1"/>
        <rFont val="Calibri"/>
        <family val="2"/>
        <scheme val="minor"/>
      </rPr>
      <t>=PROPER(B2)</t>
    </r>
  </si>
  <si>
    <r>
      <t xml:space="preserve">Formula in cell B6: </t>
    </r>
    <r>
      <rPr>
        <b/>
        <sz val="11"/>
        <color theme="1"/>
        <rFont val="Calibri"/>
        <family val="2"/>
        <scheme val="minor"/>
      </rPr>
      <t>=LOWER(B2)</t>
    </r>
  </si>
  <si>
    <r>
      <t xml:space="preserve">Formula in cell B7: </t>
    </r>
    <r>
      <rPr>
        <b/>
        <sz val="11"/>
        <color theme="1"/>
        <rFont val="Calibri"/>
        <family val="2"/>
        <scheme val="minor"/>
      </rPr>
      <t>=UPPER(B2)</t>
    </r>
  </si>
  <si>
    <t>california</t>
  </si>
  <si>
    <t>texas</t>
  </si>
  <si>
    <t>florida</t>
  </si>
  <si>
    <t>virginia</t>
  </si>
  <si>
    <t>alaska</t>
  </si>
  <si>
    <t>georgia</t>
  </si>
  <si>
    <t>US State - Lowercase</t>
  </si>
  <si>
    <t>US State - Uppercase</t>
  </si>
  <si>
    <t>FINANCIAL</t>
  </si>
  <si>
    <t>LOGICAL</t>
  </si>
  <si>
    <t>TEXT</t>
  </si>
  <si>
    <t>DATE &amp; TIME</t>
  </si>
  <si>
    <t>LOOKUP &amp; REFERENCE</t>
  </si>
  <si>
    <t>Excel Function - Uppercase</t>
  </si>
  <si>
    <t>Excel Function - Lowercase</t>
  </si>
  <si>
    <t>Book Title</t>
  </si>
  <si>
    <t>Book Title - Title Case</t>
  </si>
  <si>
    <t>excel 2019 BIBLE</t>
  </si>
  <si>
    <t>EXCEL 2019 all-in-one for DUMMIES</t>
  </si>
  <si>
    <t>EXCEL for beginners</t>
  </si>
  <si>
    <t>MICROSOFT excel 2019 data analysis and business modeling</t>
  </si>
  <si>
    <t>EXCEL basics in 30 minutes</t>
  </si>
  <si>
    <t>professional excel development</t>
  </si>
  <si>
    <t>Grocery Item</t>
  </si>
  <si>
    <t>Grocery Item - Title Case</t>
  </si>
  <si>
    <t>bread</t>
  </si>
  <si>
    <t>butter</t>
  </si>
  <si>
    <t>cheese</t>
  </si>
  <si>
    <t>jam</t>
  </si>
  <si>
    <t>peanut butter</t>
  </si>
  <si>
    <t>corn flakes</t>
  </si>
  <si>
    <t>pancake mix</t>
  </si>
  <si>
    <t>orange juice</t>
  </si>
  <si>
    <t>soya milk</t>
  </si>
  <si>
    <t>Bread</t>
  </si>
  <si>
    <t>Butter</t>
  </si>
  <si>
    <t>Cheese</t>
  </si>
  <si>
    <t>Jam</t>
  </si>
  <si>
    <t>Peanut Butter</t>
  </si>
  <si>
    <t>Corn Flakes</t>
  </si>
  <si>
    <t>Pancake Mix</t>
  </si>
  <si>
    <t>Orange Juice</t>
  </si>
  <si>
    <t>Soya Milk</t>
  </si>
  <si>
    <t>Student Name</t>
  </si>
  <si>
    <t>Student Name-Uppercase</t>
  </si>
  <si>
    <t>Student Name-Lowercase</t>
  </si>
  <si>
    <t>Student Name-Proper Case</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</si>
  <si>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</si>
  <si>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</si>
  <si>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</si>
  <si>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</si>
  <si>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</si>
  <si>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</si>
  <si>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</si>
  <si>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</si>
  <si>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</si>
  <si>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</si>
  <si>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</si>
  <si>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</si>
  <si>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</si>
  <si>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</si>
  <si>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</si>
  <si>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</si>
  <si>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</si>
  <si>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</si>
  <si>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</si>
  <si>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</si>
  <si>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</si>
  <si>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</si>
  <si>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</si>
  <si>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</si>
  <si>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</si>
  <si>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</si>
  <si>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</si>
  <si>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</si>
  <si>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</si>
  <si>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</si>
  <si>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</si>
  <si>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</si>
  <si>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</si>
  <si>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</si>
  <si>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</si>
  <si>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</si>
  <si>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</si>
  <si>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</si>
  <si>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</si>
  <si>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</si>
  <si>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this Is a SAMPLe teXt.</t>
  </si>
  <si>
    <t>Original Text</t>
  </si>
  <si>
    <t>Text- Uppercase</t>
  </si>
  <si>
    <t>Text- Lowercase</t>
  </si>
  <si>
    <t>Text- Proper Case</t>
  </si>
  <si>
    <t>THIS IS A SAMPLE TEXT.</t>
  </si>
  <si>
    <t>this is a sample text.</t>
  </si>
  <si>
    <t>This Is A Sample Text.</t>
  </si>
  <si>
    <t>Formulas</t>
  </si>
  <si>
    <t>Data</t>
  </si>
  <si>
    <t>Data Formats Using TEXT()</t>
  </si>
  <si>
    <t>Required Format</t>
  </si>
  <si>
    <t>Day Date Month, Year</t>
  </si>
  <si>
    <t>Percentage</t>
  </si>
  <si>
    <t>Currency with a thousands seperator and two decimals</t>
  </si>
  <si>
    <t>Number with leading zeros</t>
  </si>
  <si>
    <r>
      <rPr>
        <sz val="11"/>
        <color rgb="FF000000"/>
        <rFont val="Calibri"/>
        <family val="2"/>
        <scheme val="minor"/>
      </rPr>
      <t xml:space="preserve">Formula in cell C2: </t>
    </r>
    <r>
      <rPr>
        <b/>
        <sz val="11"/>
        <color rgb="FF000000"/>
        <rFont val="Calibri"/>
        <family val="2"/>
        <scheme val="minor"/>
      </rPr>
      <t>=TEXT(A2,"dddd dd mmmm, yyyy")</t>
    </r>
  </si>
  <si>
    <r>
      <t xml:space="preserve">Formula in cell C3: </t>
    </r>
    <r>
      <rPr>
        <b/>
        <sz val="11"/>
        <color rgb="FF000000"/>
        <rFont val="Calibri"/>
        <family val="2"/>
        <scheme val="minor"/>
      </rPr>
      <t>=TEXT(A3,"0.0%")</t>
    </r>
  </si>
  <si>
    <r>
      <rPr>
        <sz val="11"/>
        <color rgb="FF000000"/>
        <rFont val="Calibri"/>
        <family val="2"/>
        <scheme val="minor"/>
      </rPr>
      <t xml:space="preserve">Formula in cell C4: </t>
    </r>
    <r>
      <rPr>
        <b/>
        <sz val="11"/>
        <color rgb="FF000000"/>
        <rFont val="Calibri"/>
        <family val="2"/>
        <scheme val="minor"/>
      </rPr>
      <t>=TEXT(A4,"$#,#.00")</t>
    </r>
  </si>
  <si>
    <r>
      <rPr>
        <sz val="11"/>
        <color theme="1"/>
        <rFont val="Calibri"/>
        <family val="2"/>
        <scheme val="minor"/>
      </rPr>
      <t xml:space="preserve">Formula in cell C5: </t>
    </r>
    <r>
      <rPr>
        <b/>
        <sz val="11"/>
        <color theme="1"/>
        <rFont val="Calibri"/>
        <family val="2"/>
        <scheme val="minor"/>
      </rPr>
      <t>="The Product Code is: "&amp;TEXT(A5,"00000000")</t>
    </r>
  </si>
  <si>
    <t>Numeric Value</t>
  </si>
  <si>
    <t>Number with two decimals</t>
  </si>
  <si>
    <t>Fraction</t>
  </si>
  <si>
    <t>Formatted Value Using TEXT()</t>
  </si>
  <si>
    <t>Code</t>
  </si>
  <si>
    <t>Description</t>
  </si>
  <si>
    <t>#</t>
  </si>
  <si>
    <t>?</t>
  </si>
  <si>
    <t>.</t>
  </si>
  <si>
    <t>Decimal point</t>
  </si>
  <si>
    <t>,</t>
  </si>
  <si>
    <t>Thousands seperator</t>
  </si>
  <si>
    <t>+, -</t>
  </si>
  <si>
    <t>Plus and minus signs</t>
  </si>
  <si>
    <t>$</t>
  </si>
  <si>
    <t>Dollar</t>
  </si>
  <si>
    <t>%</t>
  </si>
  <si>
    <t>&amp;</t>
  </si>
  <si>
    <t>Ampersand</t>
  </si>
  <si>
    <t>()</t>
  </si>
  <si>
    <t>Parentheses</t>
  </si>
  <si>
    <t>:</t>
  </si>
  <si>
    <t>Colon</t>
  </si>
  <si>
    <t>'</t>
  </si>
  <si>
    <t>Apostrophe</t>
  </si>
  <si>
    <t>/</t>
  </si>
  <si>
    <t>Forward Slash</t>
  </si>
  <si>
    <t>!</t>
  </si>
  <si>
    <t>Exclamation Mark</t>
  </si>
  <si>
    <t>Space Character</t>
  </si>
  <si>
    <t>=</t>
  </si>
  <si>
    <t>Equal Sign</t>
  </si>
  <si>
    <t>^</t>
  </si>
  <si>
    <t>Caret</t>
  </si>
  <si>
    <t>~</t>
  </si>
  <si>
    <t>Tilde</t>
  </si>
  <si>
    <t>h</t>
  </si>
  <si>
    <t>m</t>
  </si>
  <si>
    <t>s</t>
  </si>
  <si>
    <t>d</t>
  </si>
  <si>
    <t>y</t>
  </si>
  <si>
    <t>AM/PM</t>
  </si>
  <si>
    <t>Hour</t>
  </si>
  <si>
    <t>Second</t>
  </si>
  <si>
    <t>The digit placeholder that hides the extra zeros.</t>
  </si>
  <si>
    <t>The digit placeholder, showing the irrelevant zeros.</t>
  </si>
  <si>
    <t>The digit placeholder that provides a space for irrelevant zeros, but hides them. It usually aligns numeric values in a column at a decimal point.</t>
  </si>
  <si>
    <t>Comment</t>
  </si>
  <si>
    <t>Peak Design Everyday Messenger</t>
  </si>
  <si>
    <t>Timbuk2 Spire</t>
  </si>
  <si>
    <t>Mancro Anti-Theft Backpack</t>
  </si>
  <si>
    <t>HP Envy Urban Backpack</t>
  </si>
  <si>
    <t>AmazonBasics Shoulder Bag Carrying Case</t>
  </si>
  <si>
    <t>Date</t>
  </si>
  <si>
    <t xml:space="preserve"> Time and Date</t>
  </si>
  <si>
    <t>Mobile Number</t>
  </si>
  <si>
    <t>Mobile Number Displayed Using TEXT()</t>
  </si>
  <si>
    <t>Extension-Mobile Number</t>
  </si>
  <si>
    <t>Net Income in $</t>
  </si>
  <si>
    <t>Text String - Number With Leading Zeros</t>
  </si>
  <si>
    <t>Decimal Number</t>
  </si>
  <si>
    <t>Number In Percentage</t>
  </si>
  <si>
    <t>Minute when mentioned in the time format.</t>
  </si>
  <si>
    <t>Month when mentioned in the date format.</t>
  </si>
  <si>
    <t>Output (TRUE/FALSE)</t>
  </si>
  <si>
    <t>Data1</t>
  </si>
  <si>
    <t>Data2</t>
  </si>
  <si>
    <t>Toothbrush</t>
  </si>
  <si>
    <t>Toothpaste</t>
  </si>
  <si>
    <t>PASS</t>
  </si>
  <si>
    <r>
      <t xml:space="preserve">Formula in cell C2: </t>
    </r>
    <r>
      <rPr>
        <b/>
        <sz val="11"/>
        <color theme="1"/>
        <rFont val="Calibri"/>
        <family val="2"/>
        <scheme val="minor"/>
      </rPr>
      <t>=A2&gt;=B2</t>
    </r>
  </si>
  <si>
    <r>
      <t xml:space="preserve">Formula in cell C3: </t>
    </r>
    <r>
      <rPr>
        <b/>
        <sz val="11"/>
        <color theme="1"/>
        <rFont val="Calibri"/>
        <family val="2"/>
        <scheme val="minor"/>
      </rPr>
      <t>=A3&gt;=B3</t>
    </r>
  </si>
  <si>
    <r>
      <t xml:space="preserve">Formula in cell C4: </t>
    </r>
    <r>
      <rPr>
        <b/>
        <sz val="11"/>
        <color theme="1"/>
        <rFont val="Calibri"/>
        <family val="2"/>
        <scheme val="minor"/>
      </rPr>
      <t>=A4&gt;=B4</t>
    </r>
  </si>
  <si>
    <r>
      <t xml:space="preserve">Formula in cell C5: </t>
    </r>
    <r>
      <rPr>
        <b/>
        <sz val="11"/>
        <color theme="1"/>
        <rFont val="Calibri"/>
        <family val="2"/>
        <scheme val="minor"/>
      </rPr>
      <t>=A5&gt;=B5</t>
    </r>
  </si>
  <si>
    <r>
      <t xml:space="preserve">Formula in cell C6: </t>
    </r>
    <r>
      <rPr>
        <b/>
        <sz val="11"/>
        <color theme="1"/>
        <rFont val="Calibri"/>
        <family val="2"/>
        <scheme val="minor"/>
      </rPr>
      <t>=IF(A6&gt;=100,B6,"FAIL")</t>
    </r>
  </si>
  <si>
    <t>Overall Score</t>
  </si>
  <si>
    <t>Pass (Greater Than Logical Operator)</t>
  </si>
  <si>
    <t>Pass (Greater Than Or Equal To Logical Operator)</t>
  </si>
  <si>
    <t>Bonus Eligibility</t>
  </si>
  <si>
    <t>Branch Office 1</t>
  </si>
  <si>
    <t>Branch Office 2</t>
  </si>
  <si>
    <t>Branch Office 3</t>
  </si>
  <si>
    <t>Branch Office 4</t>
  </si>
  <si>
    <t>Branch Office 5</t>
  </si>
  <si>
    <t>Item 11</t>
  </si>
  <si>
    <t>Item 12</t>
  </si>
  <si>
    <t>Item 13</t>
  </si>
  <si>
    <t>Item 14</t>
  </si>
  <si>
    <t>Item 15</t>
  </si>
  <si>
    <t>Order Date</t>
  </si>
  <si>
    <t>Number of Items_Ordered in March And April</t>
  </si>
  <si>
    <t>Number of Items_ With Order For Quantity ≥ 200</t>
  </si>
  <si>
    <t>Sales Representative</t>
  </si>
  <si>
    <t>Sales In $</t>
  </si>
  <si>
    <t>Tracey Wheeler</t>
  </si>
  <si>
    <t>Frank Keller</t>
  </si>
  <si>
    <t>Ronnie Dixon</t>
  </si>
  <si>
    <t>Kristina Fisher</t>
  </si>
  <si>
    <t>Emilio Glover</t>
  </si>
  <si>
    <t>Max Peterson</t>
  </si>
  <si>
    <t>Clint Thornton</t>
  </si>
  <si>
    <t>Velma Valdez</t>
  </si>
  <si>
    <t>Doyle Mckenzie</t>
  </si>
  <si>
    <t>Edmund Rodriquez</t>
  </si>
  <si>
    <t>Criterion</t>
  </si>
  <si>
    <t>Total Sales in $</t>
  </si>
  <si>
    <r>
      <t xml:space="preserve">Sales </t>
    </r>
    <r>
      <rPr>
        <sz val="11"/>
        <color theme="1"/>
        <rFont val="Calibri"/>
        <family val="2"/>
      </rPr>
      <t>≥ $15000</t>
    </r>
  </si>
  <si>
    <t>Pineapple</t>
  </si>
  <si>
    <t>Papaya</t>
  </si>
  <si>
    <t>Car Model</t>
  </si>
  <si>
    <t>Rank By Sale</t>
  </si>
  <si>
    <t>Chevrolet Equinox</t>
  </si>
  <si>
    <t>Subaru Forester</t>
  </si>
  <si>
    <t>Subaru Outback</t>
  </si>
  <si>
    <t>Hyundai Tucson</t>
  </si>
  <si>
    <t>Ford Escape</t>
  </si>
  <si>
    <t>Toyota 4Runner</t>
  </si>
  <si>
    <t>Honda Pilot</t>
  </si>
  <si>
    <t>Third-best Selling Car</t>
  </si>
  <si>
    <t>Color</t>
  </si>
  <si>
    <t>Color Choice</t>
  </si>
  <si>
    <t>Red</t>
  </si>
  <si>
    <t>Blue</t>
  </si>
  <si>
    <t>Green</t>
  </si>
  <si>
    <t>Yellow</t>
  </si>
  <si>
    <t>Pink</t>
  </si>
  <si>
    <t>Brown</t>
  </si>
  <si>
    <t>Magenta</t>
  </si>
  <si>
    <t>Chosen Color</t>
  </si>
  <si>
    <t>Ben Hodges</t>
  </si>
  <si>
    <t>Israel Fisher</t>
  </si>
  <si>
    <t>Wade Mack</t>
  </si>
  <si>
    <t>Alma Matthews</t>
  </si>
  <si>
    <t>Courtney Rose</t>
  </si>
  <si>
    <t>Eva Lee</t>
  </si>
  <si>
    <t>Wanda Mccormick</t>
  </si>
  <si>
    <t>Marco Hill</t>
  </si>
  <si>
    <t>Dustin Spencer</t>
  </si>
  <si>
    <t>Eula Curtis</t>
  </si>
  <si>
    <t>Aggregate (Out of 100)</t>
  </si>
  <si>
    <t>Legend</t>
  </si>
  <si>
    <t>A</t>
  </si>
  <si>
    <t>91-100</t>
  </si>
  <si>
    <t>B</t>
  </si>
  <si>
    <t>76-90</t>
  </si>
  <si>
    <t>C</t>
  </si>
  <si>
    <t>61-75</t>
  </si>
  <si>
    <t>46-60</t>
  </si>
  <si>
    <t>D</t>
  </si>
  <si>
    <t>0-45</t>
  </si>
  <si>
    <t>E</t>
  </si>
  <si>
    <t>Book</t>
  </si>
  <si>
    <t>Stranger Things</t>
  </si>
  <si>
    <t>The Walking Dead</t>
  </si>
  <si>
    <t>13 Reasons Why</t>
  </si>
  <si>
    <t>The 100</t>
  </si>
  <si>
    <t>Riverdale</t>
  </si>
  <si>
    <t>Where The Crawdads Sing</t>
  </si>
  <si>
    <t>It Ends With Us</t>
  </si>
  <si>
    <t>Verity</t>
  </si>
  <si>
    <t>Rising Tiger</t>
  </si>
  <si>
    <t>The Body Keeps The Score</t>
  </si>
  <si>
    <t>TV Show</t>
  </si>
  <si>
    <t>Movie</t>
  </si>
  <si>
    <t>Mrs Harris Goes to Paris</t>
  </si>
  <si>
    <t>The Gray Man</t>
  </si>
  <si>
    <t>Paws of Fury: The Legend of Hank</t>
  </si>
  <si>
    <t>My Name Is Sara</t>
  </si>
  <si>
    <t>Gabby Giffords Won't Back Down</t>
  </si>
  <si>
    <t>Best Entertainment Option</t>
  </si>
  <si>
    <t>Team Player</t>
  </si>
  <si>
    <t>Rick Estrada</t>
  </si>
  <si>
    <t>Brandi Vega</t>
  </si>
  <si>
    <t>Erick Osborne</t>
  </si>
  <si>
    <t>Alicia Carroll</t>
  </si>
  <si>
    <t>Mandy Lowe</t>
  </si>
  <si>
    <t>Norma Robbins</t>
  </si>
  <si>
    <t>Jacqueline Harper</t>
  </si>
  <si>
    <t>Vicky Kelly</t>
  </si>
  <si>
    <t>Heather Fuller</t>
  </si>
  <si>
    <t>June Miles</t>
  </si>
  <si>
    <t>Alloted Team</t>
  </si>
  <si>
    <t>EMP ID</t>
  </si>
  <si>
    <t>Workstation Number</t>
  </si>
  <si>
    <t>AGH_55</t>
  </si>
  <si>
    <t>AGH_100</t>
  </si>
  <si>
    <t>AGH_350</t>
  </si>
  <si>
    <t>AGH_150</t>
  </si>
  <si>
    <t>AGH_490</t>
  </si>
  <si>
    <t>AGH_500</t>
  </si>
  <si>
    <t>Clay Berry</t>
  </si>
  <si>
    <t>Nathan Campbell</t>
  </si>
  <si>
    <t>Mona Roberson</t>
  </si>
  <si>
    <t>Andrea Munoz</t>
  </si>
  <si>
    <t>Victoria West</t>
  </si>
  <si>
    <t>Monique Patrick</t>
  </si>
  <si>
    <t>Order Month</t>
  </si>
  <si>
    <t>PDT1</t>
  </si>
  <si>
    <t>PDT2</t>
  </si>
  <si>
    <t>PDT3</t>
  </si>
  <si>
    <t>PDT4</t>
  </si>
  <si>
    <t>PDT5</t>
  </si>
  <si>
    <t>PDT6</t>
  </si>
  <si>
    <t>PDT7</t>
  </si>
  <si>
    <t>PDT8</t>
  </si>
  <si>
    <t>PDT9</t>
  </si>
  <si>
    <t>PDT10</t>
  </si>
  <si>
    <t>Finding Me</t>
  </si>
  <si>
    <t>The Flash</t>
  </si>
  <si>
    <t>Wrong Place</t>
  </si>
  <si>
    <t>Plant</t>
  </si>
  <si>
    <t>Watered</t>
  </si>
  <si>
    <t>Plant 1</t>
  </si>
  <si>
    <t>Plant 2</t>
  </si>
  <si>
    <t>Plant 3</t>
  </si>
  <si>
    <t>Name</t>
  </si>
  <si>
    <t>Matthew Aguilar</t>
  </si>
  <si>
    <t>Jackie Valdez</t>
  </si>
  <si>
    <t>Lela Wood</t>
  </si>
  <si>
    <t>Faith Knight</t>
  </si>
  <si>
    <t>Sonia Vasquez</t>
  </si>
  <si>
    <t>Total in $</t>
  </si>
  <si>
    <t>Branch Office 1- Sales in $</t>
  </si>
  <si>
    <t>Branch Office 2- Sales in $</t>
  </si>
  <si>
    <t>Branch Office 3- Sales in $</t>
  </si>
  <si>
    <t>Square</t>
  </si>
  <si>
    <t>Cube</t>
  </si>
  <si>
    <t>Start Cell</t>
  </si>
  <si>
    <t>End Cell</t>
  </si>
  <si>
    <t>Vegetable</t>
  </si>
  <si>
    <t>Mango</t>
  </si>
  <si>
    <t>Onion</t>
  </si>
  <si>
    <t>Tomato</t>
  </si>
  <si>
    <t>Potato</t>
  </si>
  <si>
    <t>Lettuce</t>
  </si>
  <si>
    <t>Broccolli</t>
  </si>
  <si>
    <t>Carrot</t>
  </si>
  <si>
    <t>Jan - Income &amp; Expenses</t>
  </si>
  <si>
    <t>Feb - Income &amp; Expenses</t>
  </si>
  <si>
    <t>Week</t>
  </si>
  <si>
    <t>Income in $</t>
  </si>
  <si>
    <t>Expenses in $</t>
  </si>
  <si>
    <t>Wk 1</t>
  </si>
  <si>
    <t>Wk 2</t>
  </si>
  <si>
    <t>Wk 3</t>
  </si>
  <si>
    <t>Wk 4</t>
  </si>
  <si>
    <t>Wk 5</t>
  </si>
  <si>
    <t>Grocery List</t>
  </si>
  <si>
    <t>Milk</t>
  </si>
  <si>
    <t>Eggs</t>
  </si>
  <si>
    <t>Potato Chips</t>
  </si>
  <si>
    <t>Almonds</t>
  </si>
  <si>
    <t>Pistachios</t>
  </si>
  <si>
    <t>Cashew Nuts</t>
  </si>
  <si>
    <t>Company</t>
  </si>
  <si>
    <t>Quarter 1 Sales in $</t>
  </si>
  <si>
    <t>Quarter 2 Sales in $</t>
  </si>
  <si>
    <t>Quarter 3 Sales in $</t>
  </si>
  <si>
    <t>Quarter 4 Sales in $</t>
  </si>
  <si>
    <t>Company 1</t>
  </si>
  <si>
    <t>Company 2</t>
  </si>
  <si>
    <t>Company 3</t>
  </si>
  <si>
    <t>Jerry Zimmerman</t>
  </si>
  <si>
    <t>Cathy Wilson</t>
  </si>
  <si>
    <t>Gina Ortega</t>
  </si>
  <si>
    <t>Raul Maldonado</t>
  </si>
  <si>
    <t>Kenneth Stevens</t>
  </si>
  <si>
    <t>Gayle Todd</t>
  </si>
  <si>
    <t>Marianne Copeland</t>
  </si>
  <si>
    <t>Nellie Holloway</t>
  </si>
  <si>
    <t>Angie Fleming</t>
  </si>
  <si>
    <t>May Black</t>
  </si>
  <si>
    <t>Anna James</t>
  </si>
  <si>
    <t>Cut-offs</t>
  </si>
  <si>
    <t>&gt;85</t>
  </si>
  <si>
    <t>Lucia Harrington</t>
  </si>
  <si>
    <t>Michael Bishop</t>
  </si>
  <si>
    <t>Marvin Hamilton</t>
  </si>
  <si>
    <t>Greg Jensen</t>
  </si>
  <si>
    <t>Roberto Goodman</t>
  </si>
  <si>
    <t>Count Of Students In Each Score Range</t>
  </si>
  <si>
    <t>Cut-offs Interpretation (Score Range)</t>
  </si>
  <si>
    <t>Age</t>
  </si>
  <si>
    <t>Bins</t>
  </si>
  <si>
    <t>Intervals Interpretation</t>
  </si>
  <si>
    <t>Applicant</t>
  </si>
  <si>
    <t>APP_1</t>
  </si>
  <si>
    <t>APP_2</t>
  </si>
  <si>
    <t>APP_3</t>
  </si>
  <si>
    <t>APP_4</t>
  </si>
  <si>
    <t>APP_5</t>
  </si>
  <si>
    <t>APP_6</t>
  </si>
  <si>
    <t>APP_7</t>
  </si>
  <si>
    <t>APP_8</t>
  </si>
  <si>
    <t>APP_9</t>
  </si>
  <si>
    <t>APP_10</t>
  </si>
  <si>
    <t>Number Of Applicants In Each Age Bracket</t>
  </si>
  <si>
    <t>0-40</t>
  </si>
  <si>
    <t>41-55</t>
  </si>
  <si>
    <t>56-70</t>
  </si>
  <si>
    <t>71-85</t>
  </si>
  <si>
    <t>0-20</t>
  </si>
  <si>
    <t>21-25</t>
  </si>
  <si>
    <t>26-30</t>
  </si>
  <si>
    <t>31-35</t>
  </si>
  <si>
    <t>36-40</t>
  </si>
  <si>
    <t>41-45</t>
  </si>
  <si>
    <t>Room Number</t>
  </si>
  <si>
    <t>Room No. 1</t>
  </si>
  <si>
    <t>Room No. 2</t>
  </si>
  <si>
    <t>Room No. 3</t>
  </si>
  <si>
    <t>Room No. 4</t>
  </si>
  <si>
    <t>Room No. 5</t>
  </si>
  <si>
    <t>Room No. 6</t>
  </si>
  <si>
    <t>Room No. 7</t>
  </si>
  <si>
    <t>Room No. 8</t>
  </si>
  <si>
    <t>Room No. 9</t>
  </si>
  <si>
    <t>Room No. 10</t>
  </si>
  <si>
    <t>Room No. 11</t>
  </si>
  <si>
    <t>Room No. 12</t>
  </si>
  <si>
    <t>Room No. 13</t>
  </si>
  <si>
    <t>Room No. 14</t>
  </si>
  <si>
    <t>Room No. 15</t>
  </si>
  <si>
    <t>Number of Occupants</t>
  </si>
  <si>
    <t>Total Occupants Per Room</t>
  </si>
  <si>
    <t>Number Of Rooms</t>
  </si>
  <si>
    <t>Guava</t>
  </si>
  <si>
    <t>Grape</t>
  </si>
  <si>
    <t>Fig</t>
  </si>
  <si>
    <t>Apricot</t>
  </si>
  <si>
    <t>Passion Fruit</t>
  </si>
  <si>
    <t>Unique Items</t>
  </si>
  <si>
    <t>Lap Number</t>
  </si>
  <si>
    <t>Time in Seconds</t>
  </si>
  <si>
    <t>0-57</t>
  </si>
  <si>
    <t>58-59</t>
  </si>
  <si>
    <t>60-61</t>
  </si>
  <si>
    <t>62-63</t>
  </si>
  <si>
    <t>64-65</t>
  </si>
  <si>
    <t>Time Intervals Interpretation</t>
  </si>
  <si>
    <t>Laps Frequency</t>
  </si>
  <si>
    <t>Laps- Cumulative Frequency Percentage in %</t>
  </si>
  <si>
    <t>Laps- Percentage in %</t>
  </si>
  <si>
    <t>Height in cm</t>
  </si>
  <si>
    <t>0-150</t>
  </si>
  <si>
    <t>151-160</t>
  </si>
  <si>
    <t>161-170</t>
  </si>
  <si>
    <t>171-180</t>
  </si>
  <si>
    <t>181-190</t>
  </si>
  <si>
    <t>Height Frequency</t>
  </si>
  <si>
    <t>Rank - Height wise</t>
  </si>
  <si>
    <t>Carole Washington</t>
  </si>
  <si>
    <t>Abraham Schmidt</t>
  </si>
  <si>
    <t>Susie Pittman</t>
  </si>
  <si>
    <t>Guadalupe Stanley</t>
  </si>
  <si>
    <t>Violet Tucker</t>
  </si>
  <si>
    <t>Bethany Armstrong</t>
  </si>
  <si>
    <t>Jerry Shelton</t>
  </si>
  <si>
    <t>Carrie Weber</t>
  </si>
  <si>
    <t>Vivian Brady</t>
  </si>
  <si>
    <t>Cody Mckenzie</t>
  </si>
  <si>
    <t>Science Score (Out of 100)</t>
  </si>
  <si>
    <t>Runner</t>
  </si>
  <si>
    <t>Race Completion Time in seconds</t>
  </si>
  <si>
    <t>Runner 1</t>
  </si>
  <si>
    <t>Runner 2</t>
  </si>
  <si>
    <t>Runner 3</t>
  </si>
  <si>
    <t>Runner 4</t>
  </si>
  <si>
    <t>Runner 5</t>
  </si>
  <si>
    <t>Runner 6</t>
  </si>
  <si>
    <t>Runner 7</t>
  </si>
  <si>
    <t>Runner 8</t>
  </si>
  <si>
    <t>Runner 9</t>
  </si>
  <si>
    <t>Runner 10</t>
  </si>
  <si>
    <t>Runner 11</t>
  </si>
  <si>
    <t>Runner 12</t>
  </si>
  <si>
    <t>Runner 13</t>
  </si>
  <si>
    <t>Runner 14</t>
  </si>
  <si>
    <t>Runner 15</t>
  </si>
  <si>
    <t>Tasks Completed</t>
  </si>
  <si>
    <t>EMP_101</t>
  </si>
  <si>
    <t>EMP_102</t>
  </si>
  <si>
    <t>EMP_103</t>
  </si>
  <si>
    <t>EMP_104</t>
  </si>
  <si>
    <t>EMP_105</t>
  </si>
  <si>
    <t>EMP_106</t>
  </si>
  <si>
    <t>EMP_107</t>
  </si>
  <si>
    <t>EMP_108</t>
  </si>
  <si>
    <t>EMP_109</t>
  </si>
  <si>
    <t>EMP_110</t>
  </si>
  <si>
    <t>Sales Office</t>
  </si>
  <si>
    <t>Rank- RANK</t>
  </si>
  <si>
    <t>Rank- RANK.AVG</t>
  </si>
  <si>
    <t>Rank- RANK.EQ</t>
  </si>
  <si>
    <t>SO_1</t>
  </si>
  <si>
    <t>SO_2</t>
  </si>
  <si>
    <t>SO_3</t>
  </si>
  <si>
    <t>SO_4</t>
  </si>
  <si>
    <t>SO_5</t>
  </si>
  <si>
    <t>SO_6</t>
  </si>
  <si>
    <t>SO_7</t>
  </si>
  <si>
    <t>SO_8</t>
  </si>
  <si>
    <t>SO_9</t>
  </si>
  <si>
    <t>SO_10</t>
  </si>
  <si>
    <t>Gwendolyn Fleming</t>
  </si>
  <si>
    <t>Jerry Terry</t>
  </si>
  <si>
    <t>Eula James</t>
  </si>
  <si>
    <t>Mathew Cannon</t>
  </si>
  <si>
    <t>Ernestine Bowman</t>
  </si>
  <si>
    <t>Subject 1- Score Out Of 100</t>
  </si>
  <si>
    <t>Overall Aggregate Out Of 500</t>
  </si>
  <si>
    <t>Sample Text</t>
  </si>
  <si>
    <t>Google</t>
  </si>
  <si>
    <t>Houston, TX</t>
  </si>
  <si>
    <t>December 2020</t>
  </si>
  <si>
    <t>(478) 374-4989</t>
  </si>
  <si>
    <t>1234/7890</t>
  </si>
  <si>
    <r>
      <t xml:space="preserve">Formula in cell B2: </t>
    </r>
    <r>
      <rPr>
        <b/>
        <sz val="11"/>
        <color theme="1"/>
        <rFont val="Calibri"/>
        <family val="2"/>
        <scheme val="minor"/>
      </rPr>
      <t>=RIGHT(A2,3)</t>
    </r>
  </si>
  <si>
    <r>
      <t xml:space="preserve">Formula in cell B3: </t>
    </r>
    <r>
      <rPr>
        <b/>
        <sz val="11"/>
        <color theme="1"/>
        <rFont val="Calibri"/>
        <family val="2"/>
        <scheme val="minor"/>
      </rPr>
      <t>=RIGHT(A3,2)</t>
    </r>
  </si>
  <si>
    <r>
      <t xml:space="preserve">Formula in cell B4: </t>
    </r>
    <r>
      <rPr>
        <b/>
        <sz val="11"/>
        <color theme="1"/>
        <rFont val="Calibri"/>
        <family val="2"/>
        <scheme val="minor"/>
      </rPr>
      <t>=RIGHT(A4,4)</t>
    </r>
  </si>
  <si>
    <r>
      <t xml:space="preserve">Formula in cell B5: </t>
    </r>
    <r>
      <rPr>
        <b/>
        <sz val="11"/>
        <color theme="1"/>
        <rFont val="Calibri"/>
        <family val="2"/>
        <scheme val="minor"/>
      </rPr>
      <t>=RIGHT(A5,8)</t>
    </r>
  </si>
  <si>
    <r>
      <t xml:space="preserve">Formula in cell B6: </t>
    </r>
    <r>
      <rPr>
        <b/>
        <sz val="11"/>
        <color theme="1"/>
        <rFont val="Calibri"/>
        <family val="2"/>
        <scheme val="minor"/>
      </rPr>
      <t>=RIGHT(A6,5)</t>
    </r>
  </si>
  <si>
    <r>
      <t xml:space="preserve">Formula in cell B2: </t>
    </r>
    <r>
      <rPr>
        <b/>
        <sz val="11"/>
        <color theme="1"/>
        <rFont val="Calibri"/>
        <family val="2"/>
        <scheme val="minor"/>
      </rPr>
      <t>=RIGHT("Google",3)</t>
    </r>
  </si>
  <si>
    <r>
      <t xml:space="preserve">Formula in cell B3: </t>
    </r>
    <r>
      <rPr>
        <b/>
        <sz val="11"/>
        <color theme="1"/>
        <rFont val="Calibri"/>
        <family val="2"/>
        <scheme val="minor"/>
      </rPr>
      <t>=RIGHT("Houston, TX",2)</t>
    </r>
  </si>
  <si>
    <r>
      <t xml:space="preserve">Formula in cell B4: </t>
    </r>
    <r>
      <rPr>
        <b/>
        <sz val="11"/>
        <color theme="1"/>
        <rFont val="Calibri"/>
        <family val="2"/>
        <scheme val="minor"/>
      </rPr>
      <t>=RIGHT("December 2020",4)</t>
    </r>
  </si>
  <si>
    <r>
      <t xml:space="preserve">Formula in cell B5: </t>
    </r>
    <r>
      <rPr>
        <b/>
        <sz val="11"/>
        <color theme="1"/>
        <rFont val="Calibri"/>
        <family val="2"/>
        <scheme val="minor"/>
      </rPr>
      <t>=RIGHT("(478) 374-4989",8)</t>
    </r>
  </si>
  <si>
    <r>
      <t xml:space="preserve">Formula in cell B6: </t>
    </r>
    <r>
      <rPr>
        <b/>
        <sz val="11"/>
        <color theme="1"/>
        <rFont val="Calibri"/>
        <family val="2"/>
        <scheme val="minor"/>
      </rPr>
      <t>=RIGHT("1234/7890",5)</t>
    </r>
  </si>
  <si>
    <t>RIGHT() Formulas in Column B</t>
  </si>
  <si>
    <t>Alternate RIGHT() Formulas in Column B</t>
  </si>
  <si>
    <t>RIGHT() Output</t>
  </si>
  <si>
    <t>Item_890</t>
  </si>
  <si>
    <t>Item_891</t>
  </si>
  <si>
    <t>Item_892</t>
  </si>
  <si>
    <t>Item_893</t>
  </si>
  <si>
    <t>Item_894</t>
  </si>
  <si>
    <t>Item_895</t>
  </si>
  <si>
    <t>Item_896</t>
  </si>
  <si>
    <t>Item_897</t>
  </si>
  <si>
    <t>Item_898</t>
  </si>
  <si>
    <t>Item_899</t>
  </si>
  <si>
    <t>Item_900</t>
  </si>
  <si>
    <t>2020-54389</t>
  </si>
  <si>
    <t>2020-54450</t>
  </si>
  <si>
    <t>2020-54490</t>
  </si>
  <si>
    <t>2020-54510</t>
  </si>
  <si>
    <t>2020-54584</t>
  </si>
  <si>
    <t>2020-54620</t>
  </si>
  <si>
    <t>2020-54634</t>
  </si>
  <si>
    <t>2020-54655</t>
  </si>
  <si>
    <t>2020-54680</t>
  </si>
  <si>
    <t>2020-54739</t>
  </si>
  <si>
    <t>2020-54708</t>
  </si>
  <si>
    <t>Invoice Number</t>
  </si>
  <si>
    <t>US State- Capital</t>
  </si>
  <si>
    <t>Output String</t>
  </si>
  <si>
    <t>US - Texas - Austin</t>
  </si>
  <si>
    <t>US - New Jersey - Trenton</t>
  </si>
  <si>
    <t>US - Arizona - Phoenix</t>
  </si>
  <si>
    <t>US - Minnesota - Saint Paul</t>
  </si>
  <si>
    <t>US - Pennsylvania - Harrisburg</t>
  </si>
  <si>
    <t>US - California - Sacramento</t>
  </si>
  <si>
    <t>10-June-2015</t>
  </si>
  <si>
    <t>17-June-2016</t>
  </si>
  <si>
    <t>23-July-2015</t>
  </si>
  <si>
    <t>30-July-2018</t>
  </si>
  <si>
    <t>01-November-2017</t>
  </si>
  <si>
    <t>11-November-2019</t>
  </si>
  <si>
    <t>12-December-2019</t>
  </si>
  <si>
    <t>01-January-2020</t>
  </si>
  <si>
    <t>10-February-2021</t>
  </si>
  <si>
    <t>15-March-2022</t>
  </si>
  <si>
    <t>Employee Address</t>
  </si>
  <si>
    <t>ZIP Code</t>
  </si>
  <si>
    <t>2736 Worden St, San Diego, California(CA), 92110</t>
  </si>
  <si>
    <t>1317 Caminito Faro, La Jolla, California(CA), 92037</t>
  </si>
  <si>
    <t>3172 Alicante Via #UNT E, La Jolla, California(CA), 92037</t>
  </si>
  <si>
    <t>5360 Repecho Dr #APT M103, San Diego, California(CA), 92124</t>
  </si>
  <si>
    <t>2736 Worden St, San Diego, California(CA), 92110</t>
  </si>
  <si>
    <t>Floyd Armstrong</t>
  </si>
  <si>
    <t>Lindsey Miles</t>
  </si>
  <si>
    <t>Grady Curtis</t>
  </si>
  <si>
    <t>Rosa Lowe</t>
  </si>
  <si>
    <t>Stanley Andrews</t>
  </si>
  <si>
    <t>Gabriel Valdez</t>
  </si>
  <si>
    <t>Blanca Cain</t>
  </si>
  <si>
    <t>Opal Schultz</t>
  </si>
  <si>
    <t>Dolores Cobb</t>
  </si>
  <si>
    <t>Elisa Stephens</t>
  </si>
  <si>
    <t>Last Name</t>
  </si>
  <si>
    <t>Student Full Name</t>
  </si>
  <si>
    <t>Troubleshooting  Steps</t>
  </si>
  <si>
    <t>Action Items</t>
  </si>
  <si>
    <t>Step 2:Establishment of a theory of possible cause.</t>
  </si>
  <si>
    <t>Step 3:Test the theory of the possible cause.</t>
  </si>
  <si>
    <t>Step 5:Plan implementation or escalation.</t>
  </si>
  <si>
    <t>Step 6:Full system functionality verification.</t>
  </si>
  <si>
    <t>Step 7:Document findings:Action items, and results.</t>
  </si>
  <si>
    <t>Step 4:Plan of action establishment:Potential effects identification</t>
  </si>
  <si>
    <t>URL</t>
  </si>
  <si>
    <t>Updated URL Using RIGHT() and LEFT()</t>
  </si>
  <si>
    <t>https://www.samsung.com/us/</t>
  </si>
  <si>
    <t>https://www.apple.com/iphone/</t>
  </si>
  <si>
    <t>https://www.motorola.com/us/</t>
  </si>
  <si>
    <t>https://store.google.com/us/</t>
  </si>
  <si>
    <t>Step 1:Problem identification</t>
  </si>
  <si>
    <t>Start Date</t>
  </si>
  <si>
    <t>Resulting Date</t>
  </si>
  <si>
    <t>Last day after 1 month</t>
  </si>
  <si>
    <t>Last day after 5 months</t>
  </si>
  <si>
    <t>Last day 3 months before</t>
  </si>
  <si>
    <t>Last day after 2 years</t>
  </si>
  <si>
    <t>Last day after 35 months</t>
  </si>
  <si>
    <t>Formulas- Column D</t>
  </si>
  <si>
    <r>
      <t xml:space="preserve">Formula in cell D2: </t>
    </r>
    <r>
      <rPr>
        <b/>
        <sz val="11"/>
        <color theme="1"/>
        <rFont val="Calibri"/>
        <family val="2"/>
        <scheme val="minor"/>
      </rPr>
      <t>=EOMONTH(A2,B2)</t>
    </r>
  </si>
  <si>
    <r>
      <t xml:space="preserve">Formula in cell D3: </t>
    </r>
    <r>
      <rPr>
        <b/>
        <sz val="11"/>
        <color theme="1"/>
        <rFont val="Calibri"/>
        <family val="2"/>
        <scheme val="minor"/>
      </rPr>
      <t>=EOMONTH(A3,B3)</t>
    </r>
  </si>
  <si>
    <r>
      <t xml:space="preserve">Formula in cell D4: </t>
    </r>
    <r>
      <rPr>
        <b/>
        <sz val="11"/>
        <color theme="1"/>
        <rFont val="Calibri"/>
        <family val="2"/>
        <scheme val="minor"/>
      </rPr>
      <t>=EOMONTH(A4,B4)</t>
    </r>
  </si>
  <si>
    <r>
      <t xml:space="preserve">Formula in cell D5: </t>
    </r>
    <r>
      <rPr>
        <b/>
        <sz val="11"/>
        <color theme="1"/>
        <rFont val="Calibri"/>
        <family val="2"/>
        <scheme val="minor"/>
      </rPr>
      <t>=EOMONTH(A5,B5)</t>
    </r>
  </si>
  <si>
    <r>
      <t xml:space="preserve">Formula in cell D6: </t>
    </r>
    <r>
      <rPr>
        <b/>
        <sz val="11"/>
        <color theme="1"/>
        <rFont val="Calibri"/>
        <family val="2"/>
        <scheme val="minor"/>
      </rPr>
      <t>=EOMONTH(A6,B6)</t>
    </r>
  </si>
  <si>
    <t>Initial Date</t>
  </si>
  <si>
    <t>Months</t>
  </si>
  <si>
    <t>EOMONTH() Result</t>
  </si>
  <si>
    <t>Requirement</t>
  </si>
  <si>
    <t>First day 6 months ago.</t>
  </si>
  <si>
    <t>First day of the previous month.</t>
  </si>
  <si>
    <t>First day of the 5th month.</t>
  </si>
  <si>
    <t>First day of the current month.</t>
  </si>
  <si>
    <t>First day of the 24th month.</t>
  </si>
  <si>
    <t>EOMONTH() Result - Based On Current Date (7/27/2022)</t>
  </si>
  <si>
    <t>Formulas In Column B</t>
  </si>
  <si>
    <r>
      <t xml:space="preserve">Formula in cell B2: </t>
    </r>
    <r>
      <rPr>
        <b/>
        <sz val="11"/>
        <color theme="1"/>
        <rFont val="Calibri"/>
        <family val="2"/>
        <scheme val="minor"/>
      </rPr>
      <t>=EOMONTH(TODAY(),-1)+1</t>
    </r>
  </si>
  <si>
    <r>
      <t xml:space="preserve">Formula in cell B3: </t>
    </r>
    <r>
      <rPr>
        <b/>
        <sz val="11"/>
        <color theme="1"/>
        <rFont val="Calibri"/>
        <family val="2"/>
        <scheme val="minor"/>
      </rPr>
      <t>=EOMONTH(TODAY(),4)+1</t>
    </r>
  </si>
  <si>
    <r>
      <t xml:space="preserve">Formula in cell B4: </t>
    </r>
    <r>
      <rPr>
        <b/>
        <sz val="11"/>
        <color theme="1"/>
        <rFont val="Calibri"/>
        <family val="2"/>
        <scheme val="minor"/>
      </rPr>
      <t>=EOMONTH(TODAY(),-2)+1</t>
    </r>
  </si>
  <si>
    <r>
      <t xml:space="preserve">Formula in cell B5: </t>
    </r>
    <r>
      <rPr>
        <b/>
        <sz val="11"/>
        <color theme="1"/>
        <rFont val="Calibri"/>
        <family val="2"/>
        <scheme val="minor"/>
      </rPr>
      <t>=EOMONTH(TODAY(),-7)+1</t>
    </r>
  </si>
  <si>
    <r>
      <t xml:space="preserve">Formula in cell B6: </t>
    </r>
    <r>
      <rPr>
        <b/>
        <sz val="11"/>
        <color theme="1"/>
        <rFont val="Calibri"/>
        <family val="2"/>
        <scheme val="minor"/>
      </rPr>
      <t>=EOMONTH(TODAY(),23)+1</t>
    </r>
  </si>
  <si>
    <t>Date (mm/dd/yyyy)</t>
  </si>
  <si>
    <t>Current Date</t>
  </si>
  <si>
    <t>Cost in $</t>
  </si>
  <si>
    <t>Bill Generated Date</t>
  </si>
  <si>
    <t>FLD_13490</t>
  </si>
  <si>
    <t>FLD_14415</t>
  </si>
  <si>
    <t>FLD_14626</t>
  </si>
  <si>
    <t>FLD_15098</t>
  </si>
  <si>
    <t>FLD_16294</t>
  </si>
  <si>
    <t>FLD_17275</t>
  </si>
  <si>
    <t>FLD_15918</t>
  </si>
  <si>
    <t>Pending Billing Amounts in $</t>
  </si>
  <si>
    <t>EOMONTH()- Same Month End Date</t>
  </si>
  <si>
    <t>Start_Date (mm/dd/yyyy)</t>
  </si>
  <si>
    <t>≤ 15 Days</t>
  </si>
  <si>
    <t>16-45 Days</t>
  </si>
  <si>
    <r>
      <rPr>
        <b/>
        <sz val="11"/>
        <color theme="0"/>
        <rFont val="Calibri"/>
        <family val="2"/>
      </rPr>
      <t>≥ 46</t>
    </r>
    <r>
      <rPr>
        <b/>
        <sz val="11"/>
        <color theme="0"/>
        <rFont val="Calibri"/>
        <family val="2"/>
        <scheme val="minor"/>
      </rPr>
      <t xml:space="preserve"> Days</t>
    </r>
  </si>
  <si>
    <t>Total Number Of Days In The Corresponding Month</t>
  </si>
  <si>
    <t>2021- Sales in $</t>
  </si>
  <si>
    <t>Forecast For 2022- Sales in $</t>
  </si>
  <si>
    <t>Formulas In Column C Cells</t>
  </si>
  <si>
    <r>
      <t xml:space="preserve">Formula In Cell C14: </t>
    </r>
    <r>
      <rPr>
        <b/>
        <sz val="11"/>
        <color theme="1"/>
        <rFont val="Calibri"/>
        <family val="2"/>
        <scheme val="minor"/>
      </rPr>
      <t>=FORECAST(A14,$B$2:$B$13,$A$2:$A$13)</t>
    </r>
  </si>
  <si>
    <r>
      <t xml:space="preserve">Formula In Cell C15: </t>
    </r>
    <r>
      <rPr>
        <b/>
        <sz val="11"/>
        <color theme="1"/>
        <rFont val="Calibri"/>
        <family val="2"/>
        <scheme val="minor"/>
      </rPr>
      <t>=FORECAST(A15,$B$2:$B$13,$A$2:$A$13)</t>
    </r>
  </si>
  <si>
    <r>
      <t xml:space="preserve">Formula In Cell C16: </t>
    </r>
    <r>
      <rPr>
        <b/>
        <sz val="11"/>
        <color theme="1"/>
        <rFont val="Calibri"/>
        <family val="2"/>
        <scheme val="minor"/>
      </rPr>
      <t>=FORECAST(A16,$B$2:$B$13,$A$2:$A$13)</t>
    </r>
  </si>
  <si>
    <r>
      <t xml:space="preserve">Formula In Cell C17: </t>
    </r>
    <r>
      <rPr>
        <b/>
        <sz val="11"/>
        <color theme="1"/>
        <rFont val="Calibri"/>
        <family val="2"/>
        <scheme val="minor"/>
      </rPr>
      <t>=FORECAST(A17,$B$2:$B$13,$A$2:$A$13)</t>
    </r>
  </si>
  <si>
    <r>
      <t xml:space="preserve">Formula In Cell C18: </t>
    </r>
    <r>
      <rPr>
        <b/>
        <sz val="11"/>
        <color theme="1"/>
        <rFont val="Calibri"/>
        <family val="2"/>
        <scheme val="minor"/>
      </rPr>
      <t>=FORECAST(A18,$B$2:$B$13,$A$2:$A$13)</t>
    </r>
  </si>
  <si>
    <r>
      <t xml:space="preserve">Formula In Cell C19: </t>
    </r>
    <r>
      <rPr>
        <b/>
        <sz val="11"/>
        <color theme="1"/>
        <rFont val="Calibri"/>
        <family val="2"/>
        <scheme val="minor"/>
      </rPr>
      <t>=FORECAST(A19,$B$2:$B$13,$A$2:$A$13)</t>
    </r>
  </si>
  <si>
    <t>Date (x-value)</t>
  </si>
  <si>
    <t>Forecast Values</t>
  </si>
  <si>
    <t>Number Of Store Visitors (y-value)</t>
  </si>
  <si>
    <t>Known Y-value</t>
  </si>
  <si>
    <t>Known X-value</t>
  </si>
  <si>
    <t>Forecast For Value 28 Using FORECAST()</t>
  </si>
  <si>
    <t>b</t>
  </si>
  <si>
    <t>a</t>
  </si>
  <si>
    <t>Forecast For Value 28 Using Mathematical Expression (y)</t>
  </si>
  <si>
    <t>Expenditure in $</t>
  </si>
  <si>
    <t>Height In cm</t>
  </si>
  <si>
    <t>Median Height In cm</t>
  </si>
  <si>
    <t>Number of Mobile Units Sold- June</t>
  </si>
  <si>
    <t>Number of Mobile Units Sold- July</t>
  </si>
  <si>
    <t>Median- June</t>
  </si>
  <si>
    <t>Median- July</t>
  </si>
  <si>
    <t>Weekend</t>
  </si>
  <si>
    <t>Weekend 1</t>
  </si>
  <si>
    <t>Weekend 2</t>
  </si>
  <si>
    <t>Weekend 3</t>
  </si>
  <si>
    <t>Weekend 4</t>
  </si>
  <si>
    <t>Weekend 5</t>
  </si>
  <si>
    <t>Mathematics- Score Out Of 100</t>
  </si>
  <si>
    <t>Gabriel Ingram</t>
  </si>
  <si>
    <t>Lynne Fleming</t>
  </si>
  <si>
    <t>Adrienne Abbott</t>
  </si>
  <si>
    <t>Clara Morrison</t>
  </si>
  <si>
    <t>Josefina Williamson</t>
  </si>
  <si>
    <t>Delia Gutierrez</t>
  </si>
  <si>
    <t>Bradley Flores</t>
  </si>
  <si>
    <t>Bethany Carter</t>
  </si>
  <si>
    <t>Marta Shaw</t>
  </si>
  <si>
    <t>Bonnie Allison</t>
  </si>
  <si>
    <t>NA</t>
  </si>
  <si>
    <t>Median Mathematics Score</t>
  </si>
  <si>
    <t>Item Stock Update</t>
  </si>
  <si>
    <t>Median- Date</t>
  </si>
  <si>
    <t>Median- Item Stock</t>
  </si>
  <si>
    <t>Daily Wage in $</t>
  </si>
  <si>
    <t>Nick Gibson</t>
  </si>
  <si>
    <t>Sheldon Mcgee</t>
  </si>
  <si>
    <t>Vicki Ingram</t>
  </si>
  <si>
    <t>Harry Haynes</t>
  </si>
  <si>
    <t>Dawn Lopez</t>
  </si>
  <si>
    <t>Duty Date</t>
  </si>
  <si>
    <t>Median Monthly Wage in $</t>
  </si>
  <si>
    <t>MEDIAN</t>
  </si>
  <si>
    <t>Data Point</t>
  </si>
  <si>
    <t>Required Date &amp; Time</t>
  </si>
  <si>
    <t>The current date and time.</t>
  </si>
  <si>
    <t>The current date and time 7 days ago.</t>
  </si>
  <si>
    <t>The current date and time after 6 hours.</t>
  </si>
  <si>
    <t>The current date and time 18 hours ago.</t>
  </si>
  <si>
    <r>
      <t>Formula in cell B2:</t>
    </r>
    <r>
      <rPr>
        <b/>
        <sz val="11"/>
        <color theme="1"/>
        <rFont val="Calibri"/>
        <family val="2"/>
        <scheme val="minor"/>
      </rPr>
      <t xml:space="preserve"> =NOW()</t>
    </r>
  </si>
  <si>
    <r>
      <t>Formula in cell B3:</t>
    </r>
    <r>
      <rPr>
        <b/>
        <sz val="11"/>
        <color theme="1"/>
        <rFont val="Calibri"/>
        <family val="2"/>
        <scheme val="minor"/>
      </rPr>
      <t xml:space="preserve"> =NOW()-7</t>
    </r>
  </si>
  <si>
    <r>
      <t>Formula in cell B4:</t>
    </r>
    <r>
      <rPr>
        <b/>
        <sz val="11"/>
        <color theme="1"/>
        <rFont val="Calibri"/>
        <family val="2"/>
        <scheme val="minor"/>
      </rPr>
      <t xml:space="preserve"> =NOW()+0.25</t>
    </r>
  </si>
  <si>
    <r>
      <t>Formula in cell B5:</t>
    </r>
    <r>
      <rPr>
        <b/>
        <sz val="11"/>
        <color theme="1"/>
        <rFont val="Calibri"/>
        <family val="2"/>
        <scheme val="minor"/>
      </rPr>
      <t xml:space="preserve"> =NOW()-0.75</t>
    </r>
  </si>
  <si>
    <t>Current Date and Time</t>
  </si>
  <si>
    <t>NOW()- Ways To Execute</t>
  </si>
  <si>
    <r>
      <t xml:space="preserve">Selecting the target cell and clicking </t>
    </r>
    <r>
      <rPr>
        <b/>
        <sz val="11"/>
        <color theme="1"/>
        <rFont val="Calibri"/>
        <family val="2"/>
        <scheme val="minor"/>
      </rPr>
      <t>Formulas</t>
    </r>
    <r>
      <rPr>
        <sz val="11"/>
        <color theme="1"/>
        <rFont val="Calibri"/>
        <family val="2"/>
        <scheme val="minor"/>
      </rPr>
      <t xml:space="preserve"> --&gt; </t>
    </r>
    <r>
      <rPr>
        <b/>
        <sz val="11"/>
        <color theme="1"/>
        <rFont val="Calibri"/>
        <family val="2"/>
        <scheme val="minor"/>
      </rPr>
      <t>Date &amp; Time</t>
    </r>
    <r>
      <rPr>
        <sz val="11"/>
        <color theme="1"/>
        <rFont val="Calibri"/>
        <family val="2"/>
        <scheme val="minor"/>
      </rPr>
      <t xml:space="preserve"> --&gt; </t>
    </r>
    <r>
      <rPr>
        <b/>
        <sz val="11"/>
        <color theme="1"/>
        <rFont val="Calibri"/>
        <family val="2"/>
        <scheme val="minor"/>
      </rPr>
      <t>NOW</t>
    </r>
  </si>
  <si>
    <r>
      <t xml:space="preserve">Manually entering </t>
    </r>
    <r>
      <rPr>
        <b/>
        <sz val="11"/>
        <color theme="1"/>
        <rFont val="Calibri"/>
        <family val="2"/>
        <scheme val="minor"/>
      </rPr>
      <t>NOW()</t>
    </r>
    <r>
      <rPr>
        <sz val="11"/>
        <color theme="1"/>
        <rFont val="Calibri"/>
        <family val="2"/>
        <scheme val="minor"/>
      </rPr>
      <t xml:space="preserve"> and pressing </t>
    </r>
    <r>
      <rPr>
        <b/>
        <sz val="11"/>
        <color theme="1"/>
        <rFont val="Calibri"/>
        <family val="2"/>
        <scheme val="minor"/>
      </rPr>
      <t>Enter</t>
    </r>
  </si>
  <si>
    <r>
      <t xml:space="preserve">Pressing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</si>
  <si>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Current Time</t>
  </si>
  <si>
    <t>Current Date And Time</t>
  </si>
  <si>
    <t>Project Submission Deadline</t>
  </si>
  <si>
    <t>Project Status</t>
  </si>
  <si>
    <t>Number Of Days Left</t>
  </si>
  <si>
    <t>Leadership Meeting Schedules</t>
  </si>
  <si>
    <r>
      <t xml:space="preserve">Using the </t>
    </r>
    <r>
      <rPr>
        <b/>
        <sz val="11"/>
        <color theme="1"/>
        <rFont val="Calibri"/>
        <family val="2"/>
        <scheme val="minor"/>
      </rPr>
      <t>NOW()</t>
    </r>
  </si>
  <si>
    <t>Current Date and Time Input Method In Column A</t>
  </si>
  <si>
    <r>
      <t xml:space="preserve">Using the Keyboard Shortcut,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</si>
  <si>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Values</t>
  </si>
  <si>
    <t>Function Inputs</t>
  </si>
  <si>
    <t>Loan Period In Years</t>
  </si>
  <si>
    <t>Annual Interest Rate in %</t>
  </si>
  <si>
    <t>Loan Amount In $</t>
  </si>
  <si>
    <t>Annual Interest Rate In %</t>
  </si>
  <si>
    <t>Annual Payment In $ [Using PMT()]</t>
  </si>
  <si>
    <t>PMT Function</t>
  </si>
  <si>
    <t>PMT() Arguments</t>
  </si>
  <si>
    <t xml:space="preserve">Loan Term in Years </t>
  </si>
  <si>
    <t>Loan Amount in $</t>
  </si>
  <si>
    <t>Future Value in $</t>
  </si>
  <si>
    <t>Payment Due Time</t>
  </si>
  <si>
    <t>rate</t>
  </si>
  <si>
    <t>nper</t>
  </si>
  <si>
    <t>pv</t>
  </si>
  <si>
    <t>fv</t>
  </si>
  <si>
    <t>type</t>
  </si>
  <si>
    <t>Annual Payment in $</t>
  </si>
  <si>
    <t>Annual Payment Calculation Inputs</t>
  </si>
  <si>
    <t>Annual Payment In $</t>
  </si>
  <si>
    <t>PMT Function Inputs</t>
  </si>
  <si>
    <t>Weekly Payment In $</t>
  </si>
  <si>
    <t>Monthly Payment In $</t>
  </si>
  <si>
    <t>Quarterly Payment In $</t>
  </si>
  <si>
    <t>Semi-annual Payment In $</t>
  </si>
  <si>
    <t>Loan Details</t>
  </si>
  <si>
    <t>Loan Term In Years</t>
  </si>
  <si>
    <t>Loan Payment Frequency</t>
  </si>
  <si>
    <t>When The Payments Are Due</t>
  </si>
  <si>
    <t>Monthly</t>
  </si>
  <si>
    <t>Weekly</t>
  </si>
  <si>
    <t>Quarterly</t>
  </si>
  <si>
    <t>Semi-annual</t>
  </si>
  <si>
    <t>Annual</t>
  </si>
  <si>
    <t>End Of Period</t>
  </si>
  <si>
    <t>Beginning Of Period</t>
  </si>
  <si>
    <t>Calculated Loan Payment Amount</t>
  </si>
  <si>
    <t>Annual Interest Rate/52</t>
  </si>
  <si>
    <t>Annual Interest Rate/12</t>
  </si>
  <si>
    <t>Annual Interest Rate/4</t>
  </si>
  <si>
    <t>Annual Interest Rate/2</t>
  </si>
  <si>
    <t>Annual Interest Rate</t>
  </si>
  <si>
    <t>Years*52</t>
  </si>
  <si>
    <t>Years*12</t>
  </si>
  <si>
    <t>Years*4</t>
  </si>
  <si>
    <t>Years*2</t>
  </si>
  <si>
    <t>Years</t>
  </si>
  <si>
    <r>
      <t>Annual Interest Rate In % (</t>
    </r>
    <r>
      <rPr>
        <b/>
        <sz val="11"/>
        <color theme="1"/>
        <rFont val="Calibri"/>
        <family val="2"/>
        <scheme val="minor"/>
      </rPr>
      <t>rate</t>
    </r>
    <r>
      <rPr>
        <sz val="11"/>
        <color theme="1"/>
        <rFont val="Calibri"/>
        <family val="2"/>
        <scheme val="minor"/>
      </rPr>
      <t>)</t>
    </r>
  </si>
  <si>
    <r>
      <t>Loan Period In Years (</t>
    </r>
    <r>
      <rPr>
        <b/>
        <sz val="11"/>
        <color theme="1"/>
        <rFont val="Calibri"/>
        <family val="2"/>
        <scheme val="minor"/>
      </rPr>
      <t>nper</t>
    </r>
    <r>
      <rPr>
        <sz val="11"/>
        <color theme="1"/>
        <rFont val="Calibri"/>
        <family val="2"/>
        <scheme val="minor"/>
      </rPr>
      <t>)</t>
    </r>
  </si>
  <si>
    <r>
      <t>Loan Amount In $ (</t>
    </r>
    <r>
      <rPr>
        <b/>
        <sz val="11"/>
        <color theme="1"/>
        <rFont val="Calibri"/>
        <family val="2"/>
        <scheme val="minor"/>
      </rPr>
      <t>pv</t>
    </r>
    <r>
      <rPr>
        <sz val="11"/>
        <color theme="1"/>
        <rFont val="Calibri"/>
        <family val="2"/>
        <scheme val="minor"/>
      </rPr>
      <t>)</t>
    </r>
  </si>
  <si>
    <t>Row number of cell reference B50.</t>
  </si>
  <si>
    <t>Row number of cell range reference D4:D10.</t>
  </si>
  <si>
    <r>
      <t xml:space="preserve">Formula in cell B2: </t>
    </r>
    <r>
      <rPr>
        <b/>
        <sz val="11"/>
        <color theme="1"/>
        <rFont val="Calibri"/>
        <family val="2"/>
        <scheme val="minor"/>
      </rPr>
      <t>=ROW()</t>
    </r>
  </si>
  <si>
    <r>
      <t xml:space="preserve">Formula in cell B3: </t>
    </r>
    <r>
      <rPr>
        <b/>
        <sz val="11"/>
        <color theme="1"/>
        <rFont val="Calibri"/>
        <family val="2"/>
        <scheme val="minor"/>
      </rPr>
      <t>=ROW(B50)</t>
    </r>
  </si>
  <si>
    <r>
      <t xml:space="preserve">Formula in cell B4: </t>
    </r>
    <r>
      <rPr>
        <b/>
        <sz val="11"/>
        <color theme="1"/>
        <rFont val="Calibri"/>
        <family val="2"/>
        <scheme val="minor"/>
      </rPr>
      <t>=ROW(D4:D10)</t>
    </r>
  </si>
  <si>
    <t>Row Number</t>
  </si>
  <si>
    <r>
      <t xml:space="preserve">Row number of cell containing </t>
    </r>
    <r>
      <rPr>
        <b/>
        <sz val="11"/>
        <color theme="1"/>
        <rFont val="Calibri"/>
        <family val="2"/>
        <scheme val="minor"/>
      </rPr>
      <t>ROW()</t>
    </r>
    <r>
      <rPr>
        <sz val="11"/>
        <color theme="1"/>
        <rFont val="Calibri"/>
        <family val="2"/>
        <scheme val="minor"/>
      </rPr>
      <t xml:space="preserve"> [Current Cell B2].</t>
    </r>
  </si>
  <si>
    <t>Requirements</t>
  </si>
  <si>
    <r>
      <t xml:space="preserve">Row number of cell containing the </t>
    </r>
    <r>
      <rPr>
        <b/>
        <sz val="11"/>
        <color theme="1"/>
        <rFont val="Calibri"/>
        <family val="2"/>
        <scheme val="minor"/>
      </rPr>
      <t xml:space="preserve">ROW() </t>
    </r>
    <r>
      <rPr>
        <sz val="11"/>
        <color theme="1"/>
        <rFont val="Calibri"/>
        <family val="2"/>
        <scheme val="minor"/>
      </rPr>
      <t>[Cell F2].</t>
    </r>
  </si>
  <si>
    <r>
      <t xml:space="preserve">Row number of cell containing the item, </t>
    </r>
    <r>
      <rPr>
        <b/>
        <sz val="11"/>
        <color theme="1"/>
        <rFont val="Calibri"/>
        <family val="2"/>
        <scheme val="minor"/>
      </rPr>
      <t>Banana</t>
    </r>
    <r>
      <rPr>
        <sz val="11"/>
        <color theme="1"/>
        <rFont val="Calibri"/>
        <family val="2"/>
        <scheme val="minor"/>
      </rPr>
      <t>.</t>
    </r>
  </si>
  <si>
    <r>
      <t xml:space="preserve">Row number of cell containing the item, </t>
    </r>
    <r>
      <rPr>
        <b/>
        <sz val="11"/>
        <color theme="1"/>
        <rFont val="Calibri"/>
        <family val="2"/>
        <scheme val="minor"/>
      </rPr>
      <t>Banana</t>
    </r>
    <r>
      <rPr>
        <sz val="11"/>
        <color theme="1"/>
        <rFont val="Calibri"/>
        <family val="2"/>
        <scheme val="minor"/>
      </rPr>
      <t xml:space="preserve">, but using absolute cell reference as the </t>
    </r>
    <r>
      <rPr>
        <b/>
        <sz val="11"/>
        <color theme="1"/>
        <rFont val="Calibri"/>
        <family val="2"/>
        <scheme val="minor"/>
      </rPr>
      <t xml:space="preserve">reference </t>
    </r>
    <r>
      <rPr>
        <sz val="11"/>
        <color theme="1"/>
        <rFont val="Calibri"/>
        <family val="2"/>
        <scheme val="minor"/>
      </rPr>
      <t>argument.</t>
    </r>
  </si>
  <si>
    <t>Row number of cell range, A5:C6.</t>
  </si>
  <si>
    <t>Score Out Of 100</t>
  </si>
  <si>
    <t>Otis Berry</t>
  </si>
  <si>
    <t>Courtney Scott</t>
  </si>
  <si>
    <t>Delbert Pearson</t>
  </si>
  <si>
    <t>Ryan Anderson</t>
  </si>
  <si>
    <t>Eva Dean</t>
  </si>
  <si>
    <t>US State</t>
  </si>
  <si>
    <t>Alabama</t>
  </si>
  <si>
    <t>Montgomery</t>
  </si>
  <si>
    <t>Arizona</t>
  </si>
  <si>
    <t>Phoenix</t>
  </si>
  <si>
    <t>Arkansas</t>
  </si>
  <si>
    <t>Little Rock</t>
  </si>
  <si>
    <t>Sacramento</t>
  </si>
  <si>
    <t>Colorado</t>
  </si>
  <si>
    <t>Denver</t>
  </si>
  <si>
    <t>Connecticut</t>
  </si>
  <si>
    <t>Hartford</t>
  </si>
  <si>
    <t>Delaware</t>
  </si>
  <si>
    <t>Dover</t>
  </si>
  <si>
    <t>Tallahassee</t>
  </si>
  <si>
    <t>Atlanta</t>
  </si>
  <si>
    <t>Hawaii</t>
  </si>
  <si>
    <t>Honolulu</t>
  </si>
  <si>
    <t>State Capital</t>
  </si>
  <si>
    <t>Performance Rating</t>
  </si>
  <si>
    <t>Peggy Richards</t>
  </si>
  <si>
    <t>Cecilia Burke</t>
  </si>
  <si>
    <t>Don Baker</t>
  </si>
  <si>
    <t>Derek Kelley</t>
  </si>
  <si>
    <t>Lori Mitchell</t>
  </si>
  <si>
    <t>Mona Drake</t>
  </si>
  <si>
    <t>Harry Howard</t>
  </si>
  <si>
    <t>Greg Hogan</t>
  </si>
  <si>
    <t>Priscilla Reyes</t>
  </si>
  <si>
    <t>Crystal Guerrero</t>
  </si>
  <si>
    <t>Irma Santos</t>
  </si>
  <si>
    <t>Ellis Mcgee</t>
  </si>
  <si>
    <t>Chester Alexander</t>
  </si>
  <si>
    <t>Belinda Mckinney</t>
  </si>
  <si>
    <t>George Lindsey</t>
  </si>
  <si>
    <t>Carla Brooks</t>
  </si>
  <si>
    <t>Joseph Keller</t>
  </si>
  <si>
    <t>Stella Rowe</t>
  </si>
  <si>
    <t>Jasmine Coleman</t>
  </si>
  <si>
    <t>Eddie Graves</t>
  </si>
  <si>
    <t>Designer</t>
  </si>
  <si>
    <t>Product Manager</t>
  </si>
  <si>
    <t>Engineering Lead</t>
  </si>
  <si>
    <t>Copy Writer</t>
  </si>
  <si>
    <t>Marketing Associate</t>
  </si>
  <si>
    <t>Meets Expectation</t>
  </si>
  <si>
    <t>Under Performer</t>
  </si>
  <si>
    <t>Exceeds Expectation</t>
  </si>
  <si>
    <t>Exceptional Performance</t>
  </si>
  <si>
    <t>Employee Details- Row Number</t>
  </si>
  <si>
    <t>New Apple M2 MacBook Air</t>
  </si>
  <si>
    <t>Gigabyte A5 K1 Gaming Laptop</t>
  </si>
  <si>
    <t>Apple MacBooks</t>
  </si>
  <si>
    <t>Apple M1 Pro MacBook Pro 14</t>
  </si>
  <si>
    <t>Apple M1 Pro MacBook Pro 16</t>
  </si>
  <si>
    <t>State Population</t>
  </si>
  <si>
    <t>Calculation</t>
  </si>
  <si>
    <t>Average of all scores</t>
  </si>
  <si>
    <t>Sum of all scores</t>
  </si>
  <si>
    <t>Highest score</t>
  </si>
  <si>
    <t>Formulas in Column E</t>
  </si>
  <si>
    <r>
      <t xml:space="preserve">Formula in cell E2: </t>
    </r>
    <r>
      <rPr>
        <b/>
        <sz val="11"/>
        <color theme="1"/>
        <rFont val="Calibri"/>
        <family val="2"/>
        <scheme val="minor"/>
      </rPr>
      <t>=AGGREGATE(9,4,B2:B9)</t>
    </r>
  </si>
  <si>
    <r>
      <t xml:space="preserve">Formula in cell E3: </t>
    </r>
    <r>
      <rPr>
        <b/>
        <sz val="11"/>
        <color theme="1"/>
        <rFont val="Calibri"/>
        <family val="2"/>
        <scheme val="minor"/>
      </rPr>
      <t>=AGGREGATE(1,4,B2:B9)</t>
    </r>
  </si>
  <si>
    <r>
      <t xml:space="preserve">Formula in cell E4: </t>
    </r>
    <r>
      <rPr>
        <b/>
        <sz val="11"/>
        <color theme="1"/>
        <rFont val="Calibri"/>
        <family val="2"/>
        <scheme val="minor"/>
      </rPr>
      <t>=AGGREGATE(4,4,B2:B9)</t>
    </r>
  </si>
  <si>
    <t>Second-highest score</t>
  </si>
  <si>
    <r>
      <t xml:space="preserve">Formula in cell E5: </t>
    </r>
    <r>
      <rPr>
        <b/>
        <sz val="11"/>
        <color theme="1"/>
        <rFont val="Calibri"/>
        <family val="2"/>
        <scheme val="minor"/>
      </rPr>
      <t>=AGGREGATE(14,4,B2:B9,2)</t>
    </r>
  </si>
  <si>
    <t>Result</t>
  </si>
  <si>
    <t>Function</t>
  </si>
  <si>
    <t>AVERAGE</t>
  </si>
  <si>
    <t>COUNT</t>
  </si>
  <si>
    <t>COUNTA</t>
  </si>
  <si>
    <t>MAX</t>
  </si>
  <si>
    <t>MIN</t>
  </si>
  <si>
    <t>PRODUCT</t>
  </si>
  <si>
    <t>function_num</t>
  </si>
  <si>
    <t>STDEV.S</t>
  </si>
  <si>
    <t>STDEV.P</t>
  </si>
  <si>
    <t>SUM</t>
  </si>
  <si>
    <t>VAR.S</t>
  </si>
  <si>
    <t>VAR.P</t>
  </si>
  <si>
    <t>MODE.SNGL</t>
  </si>
  <si>
    <t>LARGE</t>
  </si>
  <si>
    <t>SMALL</t>
  </si>
  <si>
    <t>PERCENTILE.INC</t>
  </si>
  <si>
    <t>QUARTILE.INC</t>
  </si>
  <si>
    <t>PERCENTILE.EXC</t>
  </si>
  <si>
    <t>QUARTILE.EXC</t>
  </si>
  <si>
    <t>Ignore nested SUBTOTAL and AGGREGATE functions</t>
  </si>
  <si>
    <t>Ignore hidden rows, nested SUBTOTAL and AGGREGATE functions</t>
  </si>
  <si>
    <t>Ignore error values, nested SUBTOTAL and AGGREGATE functions</t>
  </si>
  <si>
    <t>Ignore hidden rows, error values, nested SUBTOTAL and AGGREGATE functions</t>
  </si>
  <si>
    <t>Ignore nothing</t>
  </si>
  <si>
    <t>Ignore hidden rows</t>
  </si>
  <si>
    <t>Ignore error values</t>
  </si>
  <si>
    <t>Ignore hidden rows and error values</t>
  </si>
  <si>
    <t>Values- Ignored</t>
  </si>
  <si>
    <r>
      <t xml:space="preserve">0 </t>
    </r>
    <r>
      <rPr>
        <sz val="11"/>
        <color theme="1"/>
        <rFont val="Calibri"/>
        <family val="2"/>
        <scheme val="minor"/>
      </rPr>
      <t>(or omitted)</t>
    </r>
  </si>
  <si>
    <t>k- Interpretation</t>
  </si>
  <si>
    <r>
      <t>Return the k</t>
    </r>
    <r>
      <rPr>
        <vertAlign val="superscript"/>
        <sz val="11"/>
        <color theme="1"/>
        <rFont val="Calibri"/>
        <family val="2"/>
        <scheme val="minor"/>
      </rPr>
      <t>th</t>
    </r>
    <r>
      <rPr>
        <sz val="11"/>
        <color theme="1"/>
        <rFont val="Calibri"/>
        <family val="2"/>
        <scheme val="minor"/>
      </rPr>
      <t xml:space="preserve"> largest value</t>
    </r>
  </si>
  <si>
    <r>
      <t>Return the k</t>
    </r>
    <r>
      <rPr>
        <vertAlign val="superscript"/>
        <sz val="11"/>
        <color theme="1"/>
        <rFont val="Calibri"/>
        <family val="2"/>
        <scheme val="minor"/>
      </rPr>
      <t>th</t>
    </r>
    <r>
      <rPr>
        <sz val="11"/>
        <color theme="1"/>
        <rFont val="Calibri"/>
        <family val="2"/>
        <scheme val="minor"/>
      </rPr>
      <t xml:space="preserve"> smallest value</t>
    </r>
  </si>
  <si>
    <r>
      <t>Return the k</t>
    </r>
    <r>
      <rPr>
        <vertAlign val="superscript"/>
        <sz val="11"/>
        <color theme="1"/>
        <rFont val="Calibri"/>
        <family val="2"/>
        <scheme val="minor"/>
      </rPr>
      <t>th</t>
    </r>
    <r>
      <rPr>
        <sz val="11"/>
        <color theme="1"/>
        <rFont val="Calibri"/>
        <family val="2"/>
        <scheme val="minor"/>
      </rPr>
      <t xml:space="preserve"> percentile value</t>
    </r>
  </si>
  <si>
    <r>
      <t>Return the k</t>
    </r>
    <r>
      <rPr>
        <vertAlign val="superscript"/>
        <sz val="11"/>
        <color theme="1"/>
        <rFont val="Calibri"/>
        <family val="2"/>
        <scheme val="minor"/>
      </rPr>
      <t>th</t>
    </r>
    <r>
      <rPr>
        <sz val="11"/>
        <color theme="1"/>
        <rFont val="Calibri"/>
        <family val="2"/>
        <scheme val="minor"/>
      </rPr>
      <t xml:space="preserve"> quartile value</t>
    </r>
  </si>
  <si>
    <t>Options</t>
  </si>
  <si>
    <t>Input Data</t>
  </si>
  <si>
    <t>James Ford</t>
  </si>
  <si>
    <t>Project Manager</t>
  </si>
  <si>
    <t>Years of experience</t>
  </si>
  <si>
    <t>Employee name</t>
  </si>
  <si>
    <t>Address</t>
  </si>
  <si>
    <t>1135 Passaic Street, Washington DC, 20024</t>
  </si>
  <si>
    <t>Telephone number</t>
  </si>
  <si>
    <t>202-252-7486</t>
  </si>
  <si>
    <t>Mobile number</t>
  </si>
  <si>
    <t>202-650-8498</t>
  </si>
  <si>
    <t>ABB Pvt. Ltd.</t>
  </si>
  <si>
    <t>Car Park ID</t>
  </si>
  <si>
    <t>COUNT()</t>
  </si>
  <si>
    <t>COUNTA()</t>
  </si>
  <si>
    <t>Employee Information</t>
  </si>
  <si>
    <t>Kristina Rodriguez</t>
  </si>
  <si>
    <t>Glenda Welch</t>
  </si>
  <si>
    <t>Kristen Estrada</t>
  </si>
  <si>
    <t>Cristina Grant</t>
  </si>
  <si>
    <t>Arturo Romero</t>
  </si>
  <si>
    <t>Lila Griffin</t>
  </si>
  <si>
    <t>Juan Gonzales</t>
  </si>
  <si>
    <t>Leigh Hawkins</t>
  </si>
  <si>
    <t>Monique Mendez</t>
  </si>
  <si>
    <t>Forrest Morton</t>
  </si>
  <si>
    <t>Frank Schultz</t>
  </si>
  <si>
    <t>Seth Garrett</t>
  </si>
  <si>
    <t>Henrietta Freeman</t>
  </si>
  <si>
    <t>Woodrow Cook</t>
  </si>
  <si>
    <t>Nicholas Barker</t>
  </si>
  <si>
    <t>Median Annual Salary in $</t>
  </si>
  <si>
    <t>Prime Factors</t>
  </si>
  <si>
    <t>Maximum Quantity</t>
  </si>
  <si>
    <t>`</t>
  </si>
  <si>
    <t>Products</t>
  </si>
  <si>
    <t>Units Ordered</t>
  </si>
  <si>
    <t>APPLE MACBOOK AIR (M2)</t>
  </si>
  <si>
    <t>MACBOOK PRO (14-INCH AND 16-INCH)</t>
  </si>
  <si>
    <t>MACBOOK AIR (M1)</t>
  </si>
  <si>
    <t>HP SPECTRE X360 14</t>
  </si>
  <si>
    <t>ASUS ROG ZEPHYRUS G15</t>
  </si>
  <si>
    <t>iPhone 13 Pro Max</t>
  </si>
  <si>
    <t>Samsung Galaxy S22 Ultra</t>
  </si>
  <si>
    <t>iPhone 13</t>
  </si>
  <si>
    <t>Google Pixel 6</t>
  </si>
  <si>
    <t>Samsung Galaxy A53</t>
  </si>
  <si>
    <t>Total Units Ordered</t>
  </si>
  <si>
    <t>Input Number</t>
  </si>
  <si>
    <t>Round up the input number to nearest multiple of 7</t>
  </si>
  <si>
    <t>Round up the input number to nearest multiple of 13</t>
  </si>
  <si>
    <t>Round up the input number to nearest multiple of 0.5</t>
  </si>
  <si>
    <t>Round up the input number to nearest multiple of 0.2</t>
  </si>
  <si>
    <t>Round up the input number to nearest multiple of 3</t>
  </si>
  <si>
    <t>Formulas in Column C</t>
  </si>
  <si>
    <r>
      <t xml:space="preserve">Formula in cell C2: </t>
    </r>
    <r>
      <rPr>
        <b/>
        <sz val="11"/>
        <color theme="1"/>
        <rFont val="Calibri"/>
        <family val="2"/>
        <scheme val="minor"/>
      </rPr>
      <t>=CEILING(A2,7)</t>
    </r>
  </si>
  <si>
    <r>
      <t xml:space="preserve">Formula in cell C3: </t>
    </r>
    <r>
      <rPr>
        <b/>
        <sz val="11"/>
        <color theme="1"/>
        <rFont val="Calibri"/>
        <family val="2"/>
        <scheme val="minor"/>
      </rPr>
      <t>=CEILING(A3,13)</t>
    </r>
  </si>
  <si>
    <r>
      <t xml:space="preserve">Formula in cell C4: </t>
    </r>
    <r>
      <rPr>
        <b/>
        <sz val="11"/>
        <color theme="1"/>
        <rFont val="Calibri"/>
        <family val="2"/>
        <scheme val="minor"/>
      </rPr>
      <t>=CEILING(A4,0.5)</t>
    </r>
  </si>
  <si>
    <r>
      <t xml:space="preserve">Formula in cell C5: </t>
    </r>
    <r>
      <rPr>
        <b/>
        <sz val="11"/>
        <color theme="1"/>
        <rFont val="Calibri"/>
        <family val="2"/>
        <scheme val="minor"/>
      </rPr>
      <t>=CEILING(A5,0.2)</t>
    </r>
  </si>
  <si>
    <r>
      <t xml:space="preserve">Formula in cell C6: </t>
    </r>
    <r>
      <rPr>
        <b/>
        <sz val="11"/>
        <color theme="1"/>
        <rFont val="Calibri"/>
        <family val="2"/>
        <scheme val="minor"/>
      </rPr>
      <t>=CEILING(A6,3)</t>
    </r>
  </si>
  <si>
    <t>ATL_001</t>
  </si>
  <si>
    <t>ATL_002</t>
  </si>
  <si>
    <t>ATL_003</t>
  </si>
  <si>
    <t>ATL_004</t>
  </si>
  <si>
    <t>ATL_005</t>
  </si>
  <si>
    <t>ATL_006</t>
  </si>
  <si>
    <t>ATL_007</t>
  </si>
  <si>
    <t>ATL_008</t>
  </si>
  <si>
    <t>ATL_009</t>
  </si>
  <si>
    <t>ATL_010</t>
  </si>
  <si>
    <t>Significance</t>
  </si>
  <si>
    <t>Price in $- Increase/Drop</t>
  </si>
  <si>
    <t>Price in $- Increase/Drop- Rounded-up Value</t>
  </si>
  <si>
    <t>Stationery Item</t>
  </si>
  <si>
    <t>Quantity- Rounded-up Value</t>
  </si>
  <si>
    <t>Result- Rounded-up Value</t>
  </si>
  <si>
    <t>Pen</t>
  </si>
  <si>
    <t>Pencil</t>
  </si>
  <si>
    <t>Stapler</t>
  </si>
  <si>
    <t>Glue Stick</t>
  </si>
  <si>
    <t>A4 Sheets Bundle</t>
  </si>
  <si>
    <t>A3 Sheets Bundle</t>
  </si>
  <si>
    <t>Kg</t>
  </si>
  <si>
    <t>Unit</t>
  </si>
  <si>
    <t>Quantity- Rounded-up</t>
  </si>
  <si>
    <t>Check-in Time</t>
  </si>
  <si>
    <t>Check-out Time</t>
  </si>
  <si>
    <t>Jane Young</t>
  </si>
  <si>
    <t>Pedro Watkins</t>
  </si>
  <si>
    <t>Raul Williamson</t>
  </si>
  <si>
    <t>Billie Hale</t>
  </si>
  <si>
    <t>Rene Ramsey</t>
  </si>
  <si>
    <t>Saturday</t>
  </si>
  <si>
    <t>Sunday</t>
  </si>
  <si>
    <t>Result- Rounded-up Number</t>
  </si>
  <si>
    <t>Height In inches</t>
  </si>
  <si>
    <t>Highest Weight In lbs</t>
  </si>
  <si>
    <t>Weight In lbs</t>
  </si>
  <si>
    <t>Second-highest Height In inches</t>
  </si>
  <si>
    <t>Formulas In Column E</t>
  </si>
  <si>
    <r>
      <t>Formula in cell E2:</t>
    </r>
    <r>
      <rPr>
        <b/>
        <sz val="11"/>
        <color theme="1"/>
        <rFont val="Calibri"/>
        <family val="2"/>
        <scheme val="minor"/>
      </rPr>
      <t>=LARGE(A2:A11,2)</t>
    </r>
  </si>
  <si>
    <r>
      <t>Formula in cell E3:</t>
    </r>
    <r>
      <rPr>
        <b/>
        <sz val="11"/>
        <color theme="1"/>
        <rFont val="Calibri"/>
        <family val="2"/>
        <scheme val="minor"/>
      </rPr>
      <t>=LARGE(B2:B11,1)</t>
    </r>
  </si>
  <si>
    <t>Google Pixel 6 Pro</t>
  </si>
  <si>
    <t>Apple iPhone 13</t>
  </si>
  <si>
    <t>OnePlus 10 Pro</t>
  </si>
  <si>
    <t>Apple iPhone SE (2022)</t>
  </si>
  <si>
    <t>Google Pixel 5A with 5G</t>
  </si>
  <si>
    <t>Samsung Galaxy Z Flip 3</t>
  </si>
  <si>
    <t>Apple iPhone 13 Mini</t>
  </si>
  <si>
    <r>
      <t>5</t>
    </r>
    <r>
      <rPr>
        <b/>
        <vertAlign val="superscript"/>
        <sz val="11"/>
        <color theme="0"/>
        <rFont val="Calibri"/>
        <family val="2"/>
        <scheme val="minor"/>
      </rPr>
      <t>th</t>
    </r>
    <r>
      <rPr>
        <b/>
        <sz val="11"/>
        <color theme="0"/>
        <rFont val="Calibri"/>
        <family val="2"/>
        <scheme val="minor"/>
      </rPr>
      <t>- Most Expensive Smartphone Price In $</t>
    </r>
  </si>
  <si>
    <t>US Company</t>
  </si>
  <si>
    <t>2021- Annual Profit in $Billion</t>
  </si>
  <si>
    <t>Berkshire Hathaway</t>
  </si>
  <si>
    <t>Alphabet</t>
  </si>
  <si>
    <t>Microsoft</t>
  </si>
  <si>
    <t>JP Morgan Chase</t>
  </si>
  <si>
    <t>Meta Platforms</t>
  </si>
  <si>
    <t>Amazon</t>
  </si>
  <si>
    <t>Bank of America</t>
  </si>
  <si>
    <t>Exxon Mobil</t>
  </si>
  <si>
    <t>Fannie Mae</t>
  </si>
  <si>
    <t>2021- Top 5 Profitable US Companies</t>
  </si>
  <si>
    <t>Single-family House Size In sqft</t>
  </si>
  <si>
    <t>Sorted- Single-family House Size In sqft</t>
  </si>
  <si>
    <t>Meeting</t>
  </si>
  <si>
    <t>Schedule</t>
  </si>
  <si>
    <t>Weekly one-on-one check-in meeting</t>
  </si>
  <si>
    <t>Client check-in meeting</t>
  </si>
  <si>
    <t>Project status update meeting</t>
  </si>
  <si>
    <t>New employee onboarding check-in meeting</t>
  </si>
  <si>
    <t>Monthly team meeting</t>
  </si>
  <si>
    <t>Next Scheduled Meeting</t>
  </si>
  <si>
    <t>Today's Date</t>
  </si>
  <si>
    <t>Weekly project debriefs meeting</t>
  </si>
  <si>
    <t>Maximum Achieved Sales in $</t>
  </si>
  <si>
    <t>2021- Month</t>
  </si>
  <si>
    <t>Kristen Myers</t>
  </si>
  <si>
    <t>Glenn Sparks</t>
  </si>
  <si>
    <t>Laura Powers</t>
  </si>
  <si>
    <t>Ginger Washington</t>
  </si>
  <si>
    <t>Hugo Larson</t>
  </si>
  <si>
    <t>Ashley Ford</t>
  </si>
  <si>
    <t>Randal Wilkerson</t>
  </si>
  <si>
    <t>Edgar Bryan</t>
  </si>
  <si>
    <t>Lindsay Ward</t>
  </si>
  <si>
    <t>Dallas Hubbard</t>
  </si>
  <si>
    <t>Kelvin Gibson</t>
  </si>
  <si>
    <t>Rosemarie Singleton</t>
  </si>
  <si>
    <t>2021- Top Performer</t>
  </si>
  <si>
    <t>Formulas In Column C</t>
  </si>
  <si>
    <t>Cattle</t>
  </si>
  <si>
    <t>Nathan_Ford</t>
  </si>
  <si>
    <t>This is an example of the SUBSTITUTE function.</t>
  </si>
  <si>
    <r>
      <t xml:space="preserve">Formula in cell C2: </t>
    </r>
    <r>
      <rPr>
        <b/>
        <sz val="11"/>
        <color theme="1"/>
        <rFont val="Calibri"/>
        <family val="2"/>
        <scheme val="minor"/>
      </rPr>
      <t>=SUBSTITUTE(A2,"C","B")</t>
    </r>
  </si>
  <si>
    <r>
      <t xml:space="preserve">Formula in cell C3: </t>
    </r>
    <r>
      <rPr>
        <b/>
        <sz val="11"/>
        <color theme="1"/>
        <rFont val="Calibri"/>
        <family val="2"/>
        <scheme val="minor"/>
      </rPr>
      <t>=SUBSTITUTE(A3,"_"," ")</t>
    </r>
  </si>
  <si>
    <t>Tattle</t>
  </si>
  <si>
    <r>
      <t xml:space="preserve">Formula in cell C4: </t>
    </r>
    <r>
      <rPr>
        <b/>
        <sz val="11"/>
        <color theme="1"/>
        <rFont val="Calibri"/>
        <family val="2"/>
        <scheme val="minor"/>
      </rPr>
      <t>=SUBSTITUTE(A4,"T","B",1)</t>
    </r>
  </si>
  <si>
    <t>Updated Text</t>
  </si>
  <si>
    <t>Old_text</t>
  </si>
  <si>
    <t>New_text</t>
  </si>
  <si>
    <t>e</t>
  </si>
  <si>
    <t>Text Instance</t>
  </si>
  <si>
    <t>Reminders Of Hime</t>
  </si>
  <si>
    <t>Book Name</t>
  </si>
  <si>
    <t>Corrected Book Name</t>
  </si>
  <si>
    <t>It End With Us</t>
  </si>
  <si>
    <t>The</t>
  </si>
  <si>
    <t>Ends</t>
  </si>
  <si>
    <t>I am Glad My Mom Died</t>
  </si>
  <si>
    <t>I am</t>
  </si>
  <si>
    <t>The Very</t>
  </si>
  <si>
    <t>I'm</t>
  </si>
  <si>
    <t>Crawdads</t>
  </si>
  <si>
    <t>Where The Crowdads Sing</t>
  </si>
  <si>
    <t>Crowdads</t>
  </si>
  <si>
    <t>The 40 Laws Of Power</t>
  </si>
  <si>
    <t>Our Class Is The Family</t>
  </si>
  <si>
    <t>Things We Never Get Over</t>
  </si>
  <si>
    <t>o</t>
  </si>
  <si>
    <t>The Hungry Caterpillar</t>
  </si>
  <si>
    <t>Engineering Course- Short Form</t>
  </si>
  <si>
    <t>Engineering Course- Full Form</t>
  </si>
  <si>
    <t>M E</t>
  </si>
  <si>
    <t>R &amp; M</t>
  </si>
  <si>
    <t>M and M E</t>
  </si>
  <si>
    <t>Famous Quote</t>
  </si>
  <si>
    <t>Word Count</t>
  </si>
  <si>
    <t>The greatest glory in living lies not in never falling, but in rising every time we fall.</t>
  </si>
  <si>
    <t>The way to get started is to quit talking and begin doing.</t>
  </si>
  <si>
    <t>If life were predictable it would cease to be life, and be without flavor.</t>
  </si>
  <si>
    <t>If you set your goals ridiculously high and it's a failure, you will fail above everyone else's success. </t>
  </si>
  <si>
    <t>Life is what happens when you're busy making other plans.</t>
  </si>
  <si>
    <t>Bethany Carpenter</t>
  </si>
  <si>
    <t>Chad Strickland</t>
  </si>
  <si>
    <t>Roman Alvarado</t>
  </si>
  <si>
    <t>Wendy Warner</t>
  </si>
  <si>
    <t>Francis Vasquez</t>
  </si>
  <si>
    <t>Randolph Moss</t>
  </si>
  <si>
    <t>Norman Nash</t>
  </si>
  <si>
    <t>Nick Lloyd</t>
  </si>
  <si>
    <t>Ernestine Norton</t>
  </si>
  <si>
    <t>Ramiro Andrews</t>
  </si>
  <si>
    <t>254-463-4785</t>
  </si>
  <si>
    <t>443-231-4530</t>
  </si>
  <si>
    <t>402-471-5289</t>
  </si>
  <si>
    <t>316-788-4278</t>
  </si>
  <si>
    <t>608-202-9123</t>
  </si>
  <si>
    <t>734-943-9041</t>
  </si>
  <si>
    <t>580-986-1880</t>
  </si>
  <si>
    <t>513-569-7294</t>
  </si>
  <si>
    <t>848-208-3975</t>
  </si>
  <si>
    <t>617-598-1129</t>
  </si>
  <si>
    <t>Text</t>
  </si>
  <si>
    <t>All that glitters is not gold.</t>
  </si>
  <si>
    <t>Be slow in choosing, but slower in changing.</t>
  </si>
  <si>
    <t>Remove all spaces in the text string.</t>
  </si>
  <si>
    <r>
      <t>Remove the space characters before and after the text "</t>
    </r>
    <r>
      <rPr>
        <b/>
        <sz val="11"/>
        <color theme="1"/>
        <rFont val="Calibri"/>
        <family val="2"/>
        <scheme val="minor"/>
      </rPr>
      <t>slower</t>
    </r>
    <r>
      <rPr>
        <sz val="11"/>
        <color theme="1"/>
        <rFont val="Calibri"/>
        <family val="2"/>
        <scheme val="minor"/>
      </rPr>
      <t>" in the text string.</t>
    </r>
  </si>
  <si>
    <t>Replace '_' with " " (Space).</t>
  </si>
  <si>
    <t>Replace the first instance of the text character 'T' with 'B'.</t>
  </si>
  <si>
    <t>Replace the text string "SUBSTITUTE function" with "SUBSTITUTE()".</t>
  </si>
  <si>
    <t>Replace the character 'C' with 'B'.</t>
  </si>
  <si>
    <r>
      <t xml:space="preserve">Formula in cell C5: </t>
    </r>
    <r>
      <rPr>
        <b/>
        <sz val="11"/>
        <color theme="1"/>
        <rFont val="Calibri"/>
        <family val="2"/>
        <scheme val="minor"/>
      </rPr>
      <t>=SUBSTITUTE(A5,"SUBSTITUTE function","SUBSTITUTE()")</t>
    </r>
  </si>
  <si>
    <t>Number of Working Days</t>
  </si>
  <si>
    <t>Holiday</t>
  </si>
  <si>
    <t>Output- Date</t>
  </si>
  <si>
    <t>Formulas in Column D</t>
  </si>
  <si>
    <r>
      <t xml:space="preserve">Formula in Cell D2: </t>
    </r>
    <r>
      <rPr>
        <b/>
        <sz val="11"/>
        <color theme="1"/>
        <rFont val="Calibri"/>
        <family val="2"/>
        <scheme val="minor"/>
      </rPr>
      <t>=WORKDAY(A2,B2)</t>
    </r>
  </si>
  <si>
    <r>
      <t xml:space="preserve">Formula in Cell D3: </t>
    </r>
    <r>
      <rPr>
        <b/>
        <sz val="11"/>
        <color theme="1"/>
        <rFont val="Calibri"/>
        <family val="2"/>
        <scheme val="minor"/>
      </rPr>
      <t>=WORKDAY(A3,B3)</t>
    </r>
  </si>
  <si>
    <r>
      <t xml:space="preserve">Formula in Cell D4: </t>
    </r>
    <r>
      <rPr>
        <b/>
        <sz val="11"/>
        <color theme="1"/>
        <rFont val="Calibri"/>
        <family val="2"/>
        <scheme val="minor"/>
      </rPr>
      <t>=WORKDAY(A4,B4)</t>
    </r>
  </si>
  <si>
    <r>
      <t xml:space="preserve">Formula in Cell D5: </t>
    </r>
    <r>
      <rPr>
        <b/>
        <sz val="11"/>
        <color theme="1"/>
        <rFont val="Calibri"/>
        <family val="2"/>
        <scheme val="minor"/>
      </rPr>
      <t>=WORKDAY(A5,B5,C5)</t>
    </r>
  </si>
  <si>
    <r>
      <t xml:space="preserve">Formula in Cell D6: </t>
    </r>
    <r>
      <rPr>
        <b/>
        <sz val="11"/>
        <color theme="1"/>
        <rFont val="Calibri"/>
        <family val="2"/>
        <scheme val="minor"/>
      </rPr>
      <t>=WORKDAY(A6,B6)</t>
    </r>
  </si>
  <si>
    <t>Starting Date</t>
  </si>
  <si>
    <t>Required Workday</t>
  </si>
  <si>
    <t>Number Of Workdays To Consider</t>
  </si>
  <si>
    <t>Holiday 1</t>
  </si>
  <si>
    <t>Holiday 2</t>
  </si>
  <si>
    <t>Data Set 2</t>
  </si>
  <si>
    <t>Data Set 1</t>
  </si>
  <si>
    <t>Holiday 3</t>
  </si>
  <si>
    <t>Workday Date</t>
  </si>
  <si>
    <t>Working Day/Holiday</t>
  </si>
  <si>
    <t>Holidays List</t>
  </si>
  <si>
    <t>Thanksgiving</t>
  </si>
  <si>
    <t>End Date and Time</t>
  </si>
  <si>
    <t>Start Date and Time</t>
  </si>
  <si>
    <t>Number of Working Hours</t>
  </si>
  <si>
    <t>Working Hours- End Time</t>
  </si>
  <si>
    <t>Working Hours- Start Time</t>
  </si>
  <si>
    <t>Holidays</t>
  </si>
  <si>
    <t>Business Hours Addition To Start Date Using WORKDAY()</t>
  </si>
  <si>
    <t>Number of Days</t>
  </si>
  <si>
    <t>Output- Work Day</t>
  </si>
  <si>
    <t>Multiple</t>
  </si>
  <si>
    <t>Output- Rounded Number</t>
  </si>
  <si>
    <t>Round The Number To A Multiple</t>
  </si>
  <si>
    <r>
      <t xml:space="preserve">Formula in cell C2: </t>
    </r>
    <r>
      <rPr>
        <b/>
        <sz val="11"/>
        <color theme="1"/>
        <rFont val="Calibri"/>
        <family val="2"/>
        <scheme val="minor"/>
      </rPr>
      <t>=MROUND(A2,B2)</t>
    </r>
  </si>
  <si>
    <r>
      <t xml:space="preserve">Formula in cell C3: </t>
    </r>
    <r>
      <rPr>
        <b/>
        <sz val="11"/>
        <color theme="1"/>
        <rFont val="Calibri"/>
        <family val="2"/>
        <scheme val="minor"/>
      </rPr>
      <t>=MROUND(A3,B3)</t>
    </r>
  </si>
  <si>
    <r>
      <t xml:space="preserve">Formula in cell C4: </t>
    </r>
    <r>
      <rPr>
        <b/>
        <sz val="11"/>
        <color theme="1"/>
        <rFont val="Calibri"/>
        <family val="2"/>
        <scheme val="minor"/>
      </rPr>
      <t>=MROUND(A4,B4)</t>
    </r>
  </si>
  <si>
    <r>
      <t xml:space="preserve">Formula in cell C5: </t>
    </r>
    <r>
      <rPr>
        <b/>
        <sz val="11"/>
        <color theme="1"/>
        <rFont val="Calibri"/>
        <family val="2"/>
        <scheme val="minor"/>
      </rPr>
      <t>=MROUND(A5,B5)</t>
    </r>
  </si>
  <si>
    <r>
      <t xml:space="preserve">Formula in cell C6: </t>
    </r>
    <r>
      <rPr>
        <b/>
        <sz val="11"/>
        <color theme="1"/>
        <rFont val="Calibri"/>
        <family val="2"/>
        <scheme val="minor"/>
      </rPr>
      <t>=MROUND(A6,B6)</t>
    </r>
  </si>
  <si>
    <r>
      <t xml:space="preserve">Formula in cell C7: </t>
    </r>
    <r>
      <rPr>
        <b/>
        <sz val="11"/>
        <color theme="1"/>
        <rFont val="Calibri"/>
        <family val="2"/>
        <scheme val="minor"/>
      </rPr>
      <t>=MROUND(A7,B7)</t>
    </r>
  </si>
  <si>
    <t>Original Number</t>
  </si>
  <si>
    <t>Required Quantity</t>
  </si>
  <si>
    <t>Final Required Quantity</t>
  </si>
  <si>
    <t>Oranges</t>
  </si>
  <si>
    <t>Stock Per Unit</t>
  </si>
  <si>
    <t>Tape dispenser</t>
  </si>
  <si>
    <t>Rounded-off Price in $</t>
  </si>
  <si>
    <t>File Cabinet</t>
  </si>
  <si>
    <t>Clipboard</t>
  </si>
  <si>
    <t>Sticky Notes</t>
  </si>
  <si>
    <t>Rubber Stamp</t>
  </si>
  <si>
    <t>Office Stationery Item</t>
  </si>
  <si>
    <t>Rounded To 15 min</t>
  </si>
  <si>
    <t>Temperature in °C</t>
  </si>
  <si>
    <t>Rounded- Temperature in °C</t>
  </si>
  <si>
    <t>Rounded Number To The Nearest Multiple Of 5</t>
  </si>
  <si>
    <t>Rounded To 1 Hour</t>
  </si>
  <si>
    <t>Power</t>
  </si>
  <si>
    <t>Result- Number Raised To The Power</t>
  </si>
  <si>
    <t>Real number 4.8 raised to power 3.2.</t>
  </si>
  <si>
    <t>Base -24 raised to power 4.</t>
  </si>
  <si>
    <t>Base 10 raised to power 2, or square of number 10.</t>
  </si>
  <si>
    <t>Base 169 raised to power 1/2, or square root of 169.</t>
  </si>
  <si>
    <r>
      <t xml:space="preserve">Formula in cell D2: </t>
    </r>
    <r>
      <rPr>
        <b/>
        <sz val="11"/>
        <color theme="1"/>
        <rFont val="Calibri"/>
        <family val="2"/>
        <scheme val="minor"/>
      </rPr>
      <t>=POWER(A2,B2)</t>
    </r>
  </si>
  <si>
    <r>
      <t xml:space="preserve">Formula in cell D3: </t>
    </r>
    <r>
      <rPr>
        <b/>
        <sz val="11"/>
        <color theme="1"/>
        <rFont val="Calibri"/>
        <family val="2"/>
        <scheme val="minor"/>
      </rPr>
      <t>=POWER(A3,B3)</t>
    </r>
  </si>
  <si>
    <r>
      <t xml:space="preserve">Formula in cell D4: </t>
    </r>
    <r>
      <rPr>
        <b/>
        <sz val="11"/>
        <color theme="1"/>
        <rFont val="Calibri"/>
        <family val="2"/>
        <scheme val="minor"/>
      </rPr>
      <t>=POWER(A4,B4)</t>
    </r>
  </si>
  <si>
    <r>
      <t xml:space="preserve">Formula in cell D5: </t>
    </r>
    <r>
      <rPr>
        <b/>
        <sz val="11"/>
        <color theme="1"/>
        <rFont val="Calibri"/>
        <family val="2"/>
        <scheme val="minor"/>
      </rPr>
      <t>=POWER(A5,B5)</t>
    </r>
  </si>
  <si>
    <r>
      <t xml:space="preserve">Formula in cell D6: </t>
    </r>
    <r>
      <rPr>
        <b/>
        <sz val="11"/>
        <color theme="1"/>
        <rFont val="Calibri"/>
        <family val="2"/>
        <scheme val="minor"/>
      </rPr>
      <t>=POWER(A6,B6)</t>
    </r>
  </si>
  <si>
    <r>
      <t xml:space="preserve">Formula in cell D7: </t>
    </r>
    <r>
      <rPr>
        <b/>
        <sz val="11"/>
        <color theme="1"/>
        <rFont val="Calibri"/>
        <family val="2"/>
        <scheme val="minor"/>
      </rPr>
      <t>=POWER(A7,B7)</t>
    </r>
  </si>
  <si>
    <t>Formulas In Column D Cells</t>
  </si>
  <si>
    <t>Base 1/9 raised to power -3.</t>
  </si>
  <si>
    <t>Power (p)</t>
  </si>
  <si>
    <t>Number (n)</t>
  </si>
  <si>
    <r>
      <t>Output- n</t>
    </r>
    <r>
      <rPr>
        <b/>
        <vertAlign val="superscript"/>
        <sz val="11"/>
        <color theme="0"/>
        <rFont val="Calibri"/>
        <family val="2"/>
        <scheme val="minor"/>
      </rPr>
      <t>p</t>
    </r>
  </si>
  <si>
    <t>Compound Interest Calculation</t>
  </si>
  <si>
    <t>Input</t>
  </si>
  <si>
    <t>Input Parameter</t>
  </si>
  <si>
    <t>P</t>
  </si>
  <si>
    <t>r</t>
  </si>
  <si>
    <t>n</t>
  </si>
  <si>
    <t>t</t>
  </si>
  <si>
    <t>Principal in $</t>
  </si>
  <si>
    <t>Rate in decimal</t>
  </si>
  <si>
    <t>Time in years</t>
  </si>
  <si>
    <t>Compounded Monthly</t>
  </si>
  <si>
    <t>Value</t>
  </si>
  <si>
    <t>Compound Interest in $</t>
  </si>
  <si>
    <t>Quadratic Equation</t>
  </si>
  <si>
    <r>
      <t>2</t>
    </r>
    <r>
      <rPr>
        <b/>
        <vertAlign val="superscript"/>
        <sz val="11"/>
        <color theme="0"/>
        <rFont val="Calibri"/>
        <family val="2"/>
        <scheme val="minor"/>
      </rPr>
      <t>nd</t>
    </r>
    <r>
      <rPr>
        <b/>
        <sz val="11"/>
        <color theme="0"/>
        <rFont val="Calibri"/>
        <family val="2"/>
        <scheme val="minor"/>
      </rPr>
      <t xml:space="preserve"> Root</t>
    </r>
  </si>
  <si>
    <r>
      <t>1</t>
    </r>
    <r>
      <rPr>
        <b/>
        <vertAlign val="superscript"/>
        <sz val="11"/>
        <color theme="0"/>
        <rFont val="Calibri"/>
        <family val="2"/>
        <scheme val="minor"/>
      </rPr>
      <t>st</t>
    </r>
    <r>
      <rPr>
        <b/>
        <sz val="11"/>
        <color theme="0"/>
        <rFont val="Calibri"/>
        <family val="2"/>
        <scheme val="minor"/>
      </rPr>
      <t xml:space="preserve"> Root</t>
    </r>
  </si>
  <si>
    <r>
      <t>2x</t>
    </r>
    <r>
      <rPr>
        <vertAlign val="superscript"/>
        <sz val="11"/>
        <color theme="1"/>
        <rFont val="Calibri"/>
        <family val="2"/>
        <scheme val="minor"/>
      </rPr>
      <t>2</t>
    </r>
    <r>
      <rPr>
        <sz val="11"/>
        <color theme="1"/>
        <rFont val="Calibri"/>
        <family val="2"/>
        <scheme val="minor"/>
      </rPr>
      <t xml:space="preserve"> - 5x + 3 = 0</t>
    </r>
  </si>
  <si>
    <r>
      <t>2x</t>
    </r>
    <r>
      <rPr>
        <vertAlign val="superscript"/>
        <sz val="11"/>
        <color theme="1"/>
        <rFont val="Calibri"/>
        <family val="2"/>
        <scheme val="minor"/>
      </rPr>
      <t>2</t>
    </r>
    <r>
      <rPr>
        <sz val="11"/>
        <color theme="1"/>
        <rFont val="Calibri"/>
        <family val="2"/>
        <scheme val="minor"/>
      </rPr>
      <t xml:space="preserve"> + x - 300 = 0</t>
    </r>
  </si>
  <si>
    <r>
      <t>x</t>
    </r>
    <r>
      <rPr>
        <vertAlign val="superscript"/>
        <sz val="11"/>
        <color theme="1"/>
        <rFont val="Calibri"/>
        <family val="2"/>
        <scheme val="minor"/>
      </rPr>
      <t>2</t>
    </r>
    <r>
      <rPr>
        <sz val="11"/>
        <color theme="1"/>
        <rFont val="Calibri"/>
        <family val="2"/>
        <scheme val="minor"/>
      </rPr>
      <t xml:space="preserve"> - 45x + 324 = 0</t>
    </r>
  </si>
  <si>
    <r>
      <t>x</t>
    </r>
    <r>
      <rPr>
        <vertAlign val="superscript"/>
        <sz val="11"/>
        <color theme="1"/>
        <rFont val="Calibri"/>
        <family val="2"/>
        <scheme val="minor"/>
      </rPr>
      <t>2</t>
    </r>
    <r>
      <rPr>
        <sz val="11"/>
        <color theme="1"/>
        <rFont val="Calibri"/>
        <family val="2"/>
        <scheme val="minor"/>
      </rPr>
      <t xml:space="preserve"> + 4x - 5 = 0</t>
    </r>
  </si>
  <si>
    <r>
      <t>x</t>
    </r>
    <r>
      <rPr>
        <vertAlign val="superscript"/>
        <sz val="11"/>
        <color theme="1"/>
        <rFont val="Calibri"/>
        <family val="2"/>
        <scheme val="minor"/>
      </rPr>
      <t>2</t>
    </r>
    <r>
      <rPr>
        <sz val="11"/>
        <color theme="1"/>
        <rFont val="Calibri"/>
        <family val="2"/>
        <scheme val="minor"/>
      </rPr>
      <t xml:space="preserve"> - 5x -14 = 0</t>
    </r>
  </si>
  <si>
    <t>Base Number</t>
  </si>
  <si>
    <t>Output</t>
  </si>
  <si>
    <t>y = x^n</t>
  </si>
  <si>
    <t>x (Base)</t>
  </si>
  <si>
    <t>n (Power)</t>
  </si>
  <si>
    <t>Base 1953125 raised to power 1/3, or cube root of 1953125.</t>
  </si>
  <si>
    <t>Starbucks</t>
  </si>
  <si>
    <t>ZIP Code: 30006</t>
  </si>
  <si>
    <t>Display the character 33.</t>
  </si>
  <si>
    <t>Display the character 41.</t>
  </si>
  <si>
    <t>Display the number 100 with a # in front.</t>
  </si>
  <si>
    <t>Display the brand Starbucks with the trademark symbol.</t>
  </si>
  <si>
    <t>Display the US State, Georgia, and its ZIP code, 30006, with a line break in between.</t>
  </si>
  <si>
    <t>Requirement Description</t>
  </si>
  <si>
    <r>
      <t xml:space="preserve">Formula in cell C2: </t>
    </r>
    <r>
      <rPr>
        <b/>
        <sz val="11"/>
        <color theme="1"/>
        <rFont val="Calibri"/>
        <family val="2"/>
        <scheme val="minor"/>
      </rPr>
      <t>=CHAR(A2)</t>
    </r>
  </si>
  <si>
    <r>
      <t xml:space="preserve">Formula in cell C3: </t>
    </r>
    <r>
      <rPr>
        <b/>
        <sz val="11"/>
        <color theme="1"/>
        <rFont val="Calibri"/>
        <family val="2"/>
        <scheme val="minor"/>
      </rPr>
      <t>=CHAR(A3)</t>
    </r>
  </si>
  <si>
    <r>
      <t xml:space="preserve">Formula in cell C4: </t>
    </r>
    <r>
      <rPr>
        <b/>
        <sz val="11"/>
        <color theme="1"/>
        <rFont val="Calibri"/>
        <family val="2"/>
        <scheme val="minor"/>
      </rPr>
      <t>=CHAR(35)&amp;A4</t>
    </r>
  </si>
  <si>
    <r>
      <t xml:space="preserve">Formula in cell C5: </t>
    </r>
    <r>
      <rPr>
        <b/>
        <sz val="11"/>
        <color theme="1"/>
        <rFont val="Calibri"/>
        <family val="2"/>
        <scheme val="minor"/>
      </rPr>
      <t>=A5&amp;CHAR(153)</t>
    </r>
  </si>
  <si>
    <r>
      <t xml:space="preserve">Formula in cell C6: </t>
    </r>
    <r>
      <rPr>
        <b/>
        <sz val="11"/>
        <color theme="1"/>
        <rFont val="Calibri"/>
        <family val="2"/>
        <scheme val="minor"/>
      </rPr>
      <t>=A6&amp;CHAR(10)&amp;A7</t>
    </r>
  </si>
  <si>
    <t>Text 1</t>
  </si>
  <si>
    <t>Text 2</t>
  </si>
  <si>
    <t>Character To Insert Between Text 1 and Text 2</t>
  </si>
  <si>
    <t>Final Text</t>
  </si>
  <si>
    <t>Z</t>
  </si>
  <si>
    <t>gmail.com</t>
  </si>
  <si>
    <r>
      <t xml:space="preserve">Insert a </t>
    </r>
    <r>
      <rPr>
        <b/>
        <sz val="11"/>
        <color theme="1"/>
        <rFont val="Calibri"/>
        <family val="2"/>
        <scheme val="minor"/>
      </rPr>
      <t>hyphen</t>
    </r>
    <r>
      <rPr>
        <sz val="11"/>
        <color theme="1"/>
        <rFont val="Calibri"/>
        <family val="2"/>
        <scheme val="minor"/>
      </rPr>
      <t>.</t>
    </r>
  </si>
  <si>
    <r>
      <t xml:space="preserve">Insert the </t>
    </r>
    <r>
      <rPr>
        <b/>
        <sz val="11"/>
        <color theme="1"/>
        <rFont val="Calibri"/>
        <family val="2"/>
        <scheme val="minor"/>
      </rPr>
      <t>At symbol</t>
    </r>
    <r>
      <rPr>
        <sz val="11"/>
        <color theme="1"/>
        <rFont val="Calibri"/>
        <family val="2"/>
        <scheme val="minor"/>
      </rPr>
      <t>.</t>
    </r>
  </si>
  <si>
    <r>
      <t xml:space="preserve">Insert the </t>
    </r>
    <r>
      <rPr>
        <b/>
        <sz val="11"/>
        <color theme="1"/>
        <rFont val="Calibri"/>
        <family val="2"/>
        <scheme val="minor"/>
      </rPr>
      <t>Caret symbol</t>
    </r>
    <r>
      <rPr>
        <sz val="11"/>
        <color theme="1"/>
        <rFont val="Calibri"/>
        <family val="2"/>
        <scheme val="minor"/>
      </rPr>
      <t>.</t>
    </r>
  </si>
  <si>
    <r>
      <t xml:space="preserve">Insert a </t>
    </r>
    <r>
      <rPr>
        <b/>
        <sz val="11"/>
        <color theme="1"/>
        <rFont val="Calibri"/>
        <family val="2"/>
        <scheme val="minor"/>
      </rPr>
      <t>Slash</t>
    </r>
    <r>
      <rPr>
        <sz val="11"/>
        <color theme="1"/>
        <rFont val="Calibri"/>
        <family val="2"/>
        <scheme val="minor"/>
      </rPr>
      <t>.</t>
    </r>
  </si>
  <si>
    <t>stdio</t>
  </si>
  <si>
    <r>
      <t xml:space="preserve">Insert a </t>
    </r>
    <r>
      <rPr>
        <b/>
        <sz val="11"/>
        <color theme="1"/>
        <rFont val="Calibri"/>
        <family val="2"/>
        <scheme val="minor"/>
      </rPr>
      <t>dot</t>
    </r>
    <r>
      <rPr>
        <sz val="11"/>
        <color theme="1"/>
        <rFont val="Calibri"/>
        <family val="2"/>
        <scheme val="minor"/>
      </rPr>
      <t>.</t>
    </r>
  </si>
  <si>
    <t>Character Code (number)</t>
  </si>
  <si>
    <t>james123</t>
  </si>
  <si>
    <t>Janice Mclaughlin</t>
  </si>
  <si>
    <t>Bob Hunter</t>
  </si>
  <si>
    <t>Naomi Kelly</t>
  </si>
  <si>
    <t>Marty Watts</t>
  </si>
  <si>
    <t>Brandon Mitchell</t>
  </si>
  <si>
    <t>Street</t>
  </si>
  <si>
    <t>City</t>
  </si>
  <si>
    <t>4781 Canoga St #APT 4</t>
  </si>
  <si>
    <t>Montclair</t>
  </si>
  <si>
    <t>Customer Name</t>
  </si>
  <si>
    <t>4564 N Isle Royale St</t>
  </si>
  <si>
    <t>Moorpark</t>
  </si>
  <si>
    <t>477 S Borchard Dr</t>
  </si>
  <si>
    <t>Ventura</t>
  </si>
  <si>
    <t>4563 Scenic Dr</t>
  </si>
  <si>
    <t>Rocklin</t>
  </si>
  <si>
    <t>1071 41st Ave #6300</t>
  </si>
  <si>
    <t>Santa Cruz</t>
  </si>
  <si>
    <t>Customer Address</t>
  </si>
  <si>
    <t>669-242-8209</t>
  </si>
  <si>
    <t>419-822-3887</t>
  </si>
  <si>
    <t>312-248-1633</t>
  </si>
  <si>
    <t>509-742-4283</t>
  </si>
  <si>
    <t>651-434-9793</t>
  </si>
  <si>
    <t>318-336-6744</t>
  </si>
  <si>
    <t>Mobile Number- Format 1</t>
  </si>
  <si>
    <t>Mobile Number- Format 2</t>
  </si>
  <si>
    <t>Sub Heading</t>
  </si>
  <si>
    <t>Paragraph</t>
  </si>
  <si>
    <t>Heading</t>
  </si>
  <si>
    <r>
      <t xml:space="preserve">Insert a </t>
    </r>
    <r>
      <rPr>
        <b/>
        <sz val="11"/>
        <color theme="1"/>
        <rFont val="Calibri"/>
        <family val="2"/>
        <scheme val="minor"/>
      </rPr>
      <t>Bullet</t>
    </r>
    <r>
      <rPr>
        <sz val="11"/>
        <color theme="1"/>
        <rFont val="Calibri"/>
        <family val="2"/>
        <scheme val="minor"/>
      </rPr>
      <t xml:space="preserve"> before the heading.</t>
    </r>
  </si>
  <si>
    <r>
      <t xml:space="preserve">Insert a </t>
    </r>
    <r>
      <rPr>
        <b/>
        <sz val="11"/>
        <color theme="1"/>
        <rFont val="Calibri"/>
        <family val="2"/>
        <scheme val="minor"/>
      </rPr>
      <t>Section sign</t>
    </r>
    <r>
      <rPr>
        <sz val="11"/>
        <color theme="1"/>
        <rFont val="Calibri"/>
        <family val="2"/>
        <scheme val="minor"/>
      </rPr>
      <t xml:space="preserve"> before the subheading.</t>
    </r>
  </si>
  <si>
    <r>
      <t xml:space="preserve">Add a </t>
    </r>
    <r>
      <rPr>
        <b/>
        <sz val="11"/>
        <color theme="1"/>
        <rFont val="Calibri"/>
        <family val="2"/>
        <scheme val="minor"/>
      </rPr>
      <t>Full Stop</t>
    </r>
    <r>
      <rPr>
        <sz val="11"/>
        <color theme="1"/>
        <rFont val="Calibri"/>
        <family val="2"/>
        <scheme val="minor"/>
      </rPr>
      <t xml:space="preserve"> at the end of the paragraph.</t>
    </r>
  </si>
  <si>
    <r>
      <t xml:space="preserve">Add a </t>
    </r>
    <r>
      <rPr>
        <b/>
        <sz val="11"/>
        <color theme="1"/>
        <rFont val="Calibri"/>
        <family val="2"/>
        <scheme val="minor"/>
      </rPr>
      <t>Hash</t>
    </r>
    <r>
      <rPr>
        <sz val="11"/>
        <color theme="1"/>
        <rFont val="Calibri"/>
        <family val="2"/>
        <scheme val="minor"/>
      </rPr>
      <t xml:space="preserve"> before the number.</t>
    </r>
  </si>
  <si>
    <r>
      <t xml:space="preserve">Add the </t>
    </r>
    <r>
      <rPr>
        <b/>
        <sz val="11"/>
        <color theme="1"/>
        <rFont val="Calibri"/>
        <family val="2"/>
        <scheme val="minor"/>
      </rPr>
      <t>Dollar symbol</t>
    </r>
    <r>
      <rPr>
        <sz val="11"/>
        <color theme="1"/>
        <rFont val="Calibri"/>
        <family val="2"/>
        <scheme val="minor"/>
      </rPr>
      <t xml:space="preserve"> before the currency value.</t>
    </r>
  </si>
  <si>
    <r>
      <t xml:space="preserve">A </t>
    </r>
    <r>
      <rPr>
        <b/>
        <sz val="11"/>
        <color theme="1"/>
        <rFont val="Calibri"/>
        <family val="2"/>
        <scheme val="minor"/>
      </rPr>
      <t>CHAR()</t>
    </r>
    <r>
      <rPr>
        <sz val="11"/>
        <color theme="1"/>
        <rFont val="Calibri"/>
        <family val="2"/>
        <scheme val="minor"/>
      </rPr>
      <t xml:space="preserve"> Example</t>
    </r>
  </si>
  <si>
    <r>
      <t xml:space="preserve">Inserting Special Characters Using </t>
    </r>
    <r>
      <rPr>
        <b/>
        <sz val="11"/>
        <color theme="1"/>
        <rFont val="Calibri"/>
        <family val="2"/>
        <scheme val="minor"/>
      </rPr>
      <t>CHAR()</t>
    </r>
  </si>
  <si>
    <t>You can insert the required character using the CHAR function. It requires the character code that specifies the required character</t>
  </si>
  <si>
    <t>Character Code</t>
  </si>
  <si>
    <t>Result Using CHAR()</t>
  </si>
  <si>
    <t>Atlanta,  Georgia-    30301</t>
  </si>
  <si>
    <t>Green    Bay,  Wisconsin-  54229</t>
  </si>
  <si>
    <t xml:space="preserve">           Lubbock,        Texas-          79382</t>
  </si>
  <si>
    <t>Character</t>
  </si>
  <si>
    <t>Area ZIP Code</t>
  </si>
  <si>
    <t>Formatted- Area ZIP Code</t>
  </si>
  <si>
    <t>Result- Column Number</t>
  </si>
  <si>
    <t>Column number of the cell range L45:M80.</t>
  </si>
  <si>
    <r>
      <t xml:space="preserve">Column number of the current cell, B2, containing the </t>
    </r>
    <r>
      <rPr>
        <b/>
        <sz val="11"/>
        <color theme="1"/>
        <rFont val="Calibri"/>
        <family val="2"/>
        <scheme val="minor"/>
      </rPr>
      <t>COLUMN()</t>
    </r>
    <r>
      <rPr>
        <sz val="11"/>
        <color theme="1"/>
        <rFont val="Calibri"/>
        <family val="2"/>
        <scheme val="minor"/>
      </rPr>
      <t>.</t>
    </r>
  </si>
  <si>
    <t>Column number of cell X20.</t>
  </si>
  <si>
    <r>
      <t xml:space="preserve">Formula in cell B2: </t>
    </r>
    <r>
      <rPr>
        <b/>
        <sz val="11"/>
        <color theme="1"/>
        <rFont val="Calibri"/>
        <family val="2"/>
        <scheme val="minor"/>
      </rPr>
      <t>=COLUMN()</t>
    </r>
  </si>
  <si>
    <r>
      <t xml:space="preserve">Formula in cell B3: </t>
    </r>
    <r>
      <rPr>
        <b/>
        <sz val="11"/>
        <color theme="1"/>
        <rFont val="Calibri"/>
        <family val="2"/>
        <scheme val="minor"/>
      </rPr>
      <t>=COLUMN(X20)</t>
    </r>
  </si>
  <si>
    <r>
      <t xml:space="preserve">Formula in cell B4: </t>
    </r>
    <r>
      <rPr>
        <b/>
        <sz val="11"/>
        <color theme="1"/>
        <rFont val="Calibri"/>
        <family val="2"/>
        <scheme val="minor"/>
      </rPr>
      <t>=COLUMN(L45:M80)</t>
    </r>
  </si>
  <si>
    <t>Mixed Fruit Jam</t>
  </si>
  <si>
    <t>Marmalade</t>
  </si>
  <si>
    <t>Wheat Bread</t>
  </si>
  <si>
    <r>
      <t xml:space="preserve">Column number of cell F2, containing the </t>
    </r>
    <r>
      <rPr>
        <b/>
        <sz val="11"/>
        <color theme="1"/>
        <rFont val="Calibri"/>
        <family val="2"/>
        <scheme val="minor"/>
      </rPr>
      <t>COLUMN</t>
    </r>
    <r>
      <rPr>
        <sz val="11"/>
        <color theme="1"/>
        <rFont val="Calibri"/>
        <family val="2"/>
        <scheme val="minor"/>
      </rPr>
      <t xml:space="preserve"> function.</t>
    </r>
  </si>
  <si>
    <r>
      <t xml:space="preserve">Column number of cell containing the grocery item, </t>
    </r>
    <r>
      <rPr>
        <b/>
        <sz val="11"/>
        <color theme="1"/>
        <rFont val="Calibri"/>
        <family val="2"/>
        <scheme val="minor"/>
      </rPr>
      <t>Marmalade</t>
    </r>
    <r>
      <rPr>
        <sz val="11"/>
        <color theme="1"/>
        <rFont val="Calibri"/>
        <family val="2"/>
        <scheme val="minor"/>
      </rPr>
      <t>.</t>
    </r>
  </si>
  <si>
    <t>Column number of cell range, A4:B5.</t>
  </si>
  <si>
    <r>
      <t xml:space="preserve">Column numbers of array A5:C6, with </t>
    </r>
    <r>
      <rPr>
        <b/>
        <sz val="11"/>
        <color theme="1"/>
        <rFont val="Calibri"/>
        <family val="2"/>
        <scheme val="minor"/>
      </rPr>
      <t xml:space="preserve">COLUMN() </t>
    </r>
    <r>
      <rPr>
        <sz val="11"/>
        <color theme="1"/>
        <rFont val="Calibri"/>
        <family val="2"/>
        <scheme val="minor"/>
      </rPr>
      <t>executed as an array formula.</t>
    </r>
  </si>
  <si>
    <t>Revised Expenses in $</t>
  </si>
  <si>
    <t>Miscellaneous Expenses in $ To Add</t>
  </si>
  <si>
    <t>Test 1- Reading in cm</t>
  </si>
  <si>
    <t>Test 2- Reading in cm</t>
  </si>
  <si>
    <t>Test 3- Reading in cm</t>
  </si>
  <si>
    <t>Test 4- Reading in cm</t>
  </si>
  <si>
    <t>Test 5- Reading in cm</t>
  </si>
  <si>
    <t>Test 6- Reading in cm</t>
  </si>
  <si>
    <t>Test 7- Reading in cm</t>
  </si>
  <si>
    <t>Test 8- Reading in cm</t>
  </si>
  <si>
    <t>Test 9- Reading in cm</t>
  </si>
  <si>
    <t>Test 10- Reading in cm</t>
  </si>
  <si>
    <t>Column Numbers</t>
  </si>
  <si>
    <t>Last Test Result- Column Number</t>
  </si>
  <si>
    <t>Desktop</t>
  </si>
  <si>
    <t>Gary Goodwin</t>
  </si>
  <si>
    <t>Rochelle Morris</t>
  </si>
  <si>
    <t>Bobbie Guerrero</t>
  </si>
  <si>
    <t>Lana Ferguson</t>
  </si>
  <si>
    <t>Jake King</t>
  </si>
  <si>
    <t>Chris Hale</t>
  </si>
  <si>
    <t>ITIL_3098</t>
  </si>
  <si>
    <t>ITIL_4123</t>
  </si>
  <si>
    <t>ITIL_4390</t>
  </si>
  <si>
    <t>ITIL_4501</t>
  </si>
  <si>
    <t>ITIL_4599</t>
  </si>
  <si>
    <t>ITIL_4612</t>
  </si>
  <si>
    <t>ITIL_WS_001</t>
  </si>
  <si>
    <t>ITIL_WS_020</t>
  </si>
  <si>
    <t>ITIL_WS_022</t>
  </si>
  <si>
    <t>ITIL_WS_035</t>
  </si>
  <si>
    <t>ITIL_WS_049</t>
  </si>
  <si>
    <t>ITIL_WS_053</t>
  </si>
  <si>
    <t>205-398-3213</t>
  </si>
  <si>
    <t>205-424-3061</t>
  </si>
  <si>
    <t>205-639-2988</t>
  </si>
  <si>
    <t>205-349-5513</t>
  </si>
  <si>
    <t>205-246-2077</t>
  </si>
  <si>
    <t>205-733-9644</t>
  </si>
  <si>
    <t>Employees With Desktops</t>
  </si>
  <si>
    <t>Column Number Of Last Column With Data.</t>
  </si>
  <si>
    <t>Column Number Of Active Cell [Cell D1].</t>
  </si>
  <si>
    <t>Source Text</t>
  </si>
  <si>
    <t>Result- Final Text Without Nonprintable Characters</t>
  </si>
  <si>
    <t>Formulas In Column A</t>
  </si>
  <si>
    <r>
      <t xml:space="preserve">Formula in cell A2: </t>
    </r>
    <r>
      <rPr>
        <b/>
        <sz val="11"/>
        <color theme="1"/>
        <rFont val="Calibri"/>
        <family val="2"/>
        <scheme val="minor"/>
      </rPr>
      <t>=CHAR(15)&amp;"allen@gmail.com"&amp;CHAR(15)</t>
    </r>
  </si>
  <si>
    <r>
      <t xml:space="preserve">Formula in cell A3: </t>
    </r>
    <r>
      <rPr>
        <b/>
        <sz val="11"/>
        <color theme="1"/>
        <rFont val="Calibri"/>
        <family val="2"/>
        <scheme val="minor"/>
      </rPr>
      <t>=CHAR(12)&amp;"This is an example of the CLEAN()."</t>
    </r>
  </si>
  <si>
    <r>
      <t xml:space="preserve">Formula in cell A4: </t>
    </r>
    <r>
      <rPr>
        <b/>
        <sz val="11"/>
        <color theme="1"/>
        <rFont val="Calibri"/>
        <family val="2"/>
        <scheme val="minor"/>
      </rPr>
      <t>="($@&amp;%*#)"&amp;CHAR(167)&amp;CHAR(21)</t>
    </r>
  </si>
  <si>
    <r>
      <t xml:space="preserve">Formula in cell C2: </t>
    </r>
    <r>
      <rPr>
        <b/>
        <sz val="11"/>
        <color theme="1"/>
        <rFont val="Calibri"/>
        <family val="2"/>
        <scheme val="minor"/>
      </rPr>
      <t>=CLEAN(A2)</t>
    </r>
  </si>
  <si>
    <r>
      <t xml:space="preserve">Formula in cell C3: </t>
    </r>
    <r>
      <rPr>
        <b/>
        <sz val="11"/>
        <color theme="1"/>
        <rFont val="Calibri"/>
        <family val="2"/>
        <scheme val="minor"/>
      </rPr>
      <t>=CLEAN(A3)</t>
    </r>
  </si>
  <si>
    <r>
      <t xml:space="preserve">Formula in cell C4: </t>
    </r>
    <r>
      <rPr>
        <b/>
        <sz val="11"/>
        <color theme="1"/>
        <rFont val="Calibri"/>
        <family val="2"/>
        <scheme val="minor"/>
      </rPr>
      <t>=CLEAN(A4)</t>
    </r>
  </si>
  <si>
    <r>
      <t xml:space="preserve">Formula in cell C5: </t>
    </r>
    <r>
      <rPr>
        <b/>
        <sz val="11"/>
        <color theme="1"/>
        <rFont val="Calibri"/>
        <family val="2"/>
        <scheme val="minor"/>
      </rPr>
      <t>=CLEAN(A5)</t>
    </r>
  </si>
  <si>
    <t>Imported Data- Employee ID</t>
  </si>
  <si>
    <t>Valid Employee ID</t>
  </si>
  <si>
    <t>Edmund Bishop</t>
  </si>
  <si>
    <t>Carol Morrison</t>
  </si>
  <si>
    <t>Julia Lyons</t>
  </si>
  <si>
    <t>Hilda Barker</t>
  </si>
  <si>
    <t>Lewis Greer</t>
  </si>
  <si>
    <t>Lamar Stone</t>
  </si>
  <si>
    <t>GTPL5264</t>
  </si>
  <si>
    <t>Warehouse</t>
  </si>
  <si>
    <t>Dallas</t>
  </si>
  <si>
    <t>Houston</t>
  </si>
  <si>
    <t>Laredo</t>
  </si>
  <si>
    <t>Los Angeles</t>
  </si>
  <si>
    <t>San Bernardino</t>
  </si>
  <si>
    <t>Philadelphia</t>
  </si>
  <si>
    <t>Inventory Available- Units</t>
  </si>
  <si>
    <t>Actual Required Inventory Data in Units</t>
  </si>
  <si>
    <t>Taiwan Semiconductor Manufacturing</t>
  </si>
  <si>
    <t>2022- Most Valuable Tech Companies</t>
  </si>
  <si>
    <t>Clean/Not Clean</t>
  </si>
  <si>
    <t>Imported Data</t>
  </si>
  <si>
    <t>Nonprintable Characters And Additional Spaces</t>
  </si>
  <si>
    <t xml:space="preserve">Nonprintable Characters </t>
  </si>
  <si>
    <t>Nonprintable Characters, Additional Spaces, And Line Breaks Details</t>
  </si>
  <si>
    <t>Required Date Without Nonprintable Characters, Additional Spaces, And Line Breaks</t>
  </si>
  <si>
    <t>Nonprintable Characters And Line Breaks</t>
  </si>
  <si>
    <t>Freddy Junior</t>
  </si>
  <si>
    <t>!@#$%^&amp;*()›‡</t>
  </si>
  <si>
    <t>CLEAN function in Excel VBA.</t>
  </si>
  <si>
    <t>The text value should not contain nonprintable characters and line breaks.</t>
  </si>
  <si>
    <t>US State Capital - State</t>
  </si>
  <si>
    <t>Corrected Data</t>
  </si>
  <si>
    <r>
      <t xml:space="preserve">Formula in cell A5: </t>
    </r>
    <r>
      <rPr>
        <b/>
        <sz val="11"/>
        <color theme="1"/>
        <rFont val="Calibri"/>
        <family val="2"/>
        <scheme val="minor"/>
      </rPr>
      <t>="This cell "&amp;CHAR(10)&amp;"contained "&amp;CHAR(10)&amp;"line breaks."</t>
    </r>
  </si>
  <si>
    <t>Required Date</t>
  </si>
  <si>
    <t>Display the one month later date.</t>
  </si>
  <si>
    <t>Display the three months earlier date.</t>
  </si>
  <si>
    <t>Display the 60 months or 5 years later date.</t>
  </si>
  <si>
    <t>Display the 45 months later date.</t>
  </si>
  <si>
    <t>Display the 120 months or 10 years earlier date</t>
  </si>
  <si>
    <r>
      <t xml:space="preserve">Formula in cell D2: </t>
    </r>
    <r>
      <rPr>
        <b/>
        <sz val="11"/>
        <color theme="1"/>
        <rFont val="Calibri"/>
        <family val="2"/>
        <scheme val="minor"/>
      </rPr>
      <t>=EDATE(A2,B2)</t>
    </r>
  </si>
  <si>
    <r>
      <t xml:space="preserve">Formula in cell D3: </t>
    </r>
    <r>
      <rPr>
        <b/>
        <sz val="11"/>
        <color theme="1"/>
        <rFont val="Calibri"/>
        <family val="2"/>
        <scheme val="minor"/>
      </rPr>
      <t>=EDATE(A3,B3)</t>
    </r>
  </si>
  <si>
    <r>
      <t xml:space="preserve">Formula in cell D4: </t>
    </r>
    <r>
      <rPr>
        <b/>
        <sz val="11"/>
        <color theme="1"/>
        <rFont val="Calibri"/>
        <family val="2"/>
        <scheme val="minor"/>
      </rPr>
      <t>=EDATE(A4,B4)</t>
    </r>
  </si>
  <si>
    <r>
      <t xml:space="preserve">Formula in cell D5: </t>
    </r>
    <r>
      <rPr>
        <b/>
        <sz val="11"/>
        <color theme="1"/>
        <rFont val="Calibri"/>
        <family val="2"/>
        <scheme val="minor"/>
      </rPr>
      <t>=EDATE(A5,B5)</t>
    </r>
  </si>
  <si>
    <r>
      <t xml:space="preserve">Formula in cell D6: </t>
    </r>
    <r>
      <rPr>
        <b/>
        <sz val="11"/>
        <color theme="1"/>
        <rFont val="Calibri"/>
        <family val="2"/>
        <scheme val="minor"/>
      </rPr>
      <t>=EDATE(A6,B6)</t>
    </r>
  </si>
  <si>
    <t>Target Date</t>
  </si>
  <si>
    <t>Number of Activities To Complete</t>
  </si>
  <si>
    <t>Activity</t>
  </si>
  <si>
    <t>Activity 1</t>
  </si>
  <si>
    <t>Activity 2</t>
  </si>
  <si>
    <t>Activity 3</t>
  </si>
  <si>
    <t>Activity 4</t>
  </si>
  <si>
    <t>Activity 5</t>
  </si>
  <si>
    <t>Activity 6</t>
  </si>
  <si>
    <t>Activity 7</t>
  </si>
  <si>
    <t>Activity 8</t>
  </si>
  <si>
    <t>Activity 9</t>
  </si>
  <si>
    <t>Activity 10</t>
  </si>
  <si>
    <t>Activity 11</t>
  </si>
  <si>
    <t>Activity 12</t>
  </si>
  <si>
    <t>Activity 13</t>
  </si>
  <si>
    <t>Activity 14</t>
  </si>
  <si>
    <t>Activity 15</t>
  </si>
  <si>
    <t>Activity 16</t>
  </si>
  <si>
    <t>Activity 17</t>
  </si>
  <si>
    <t>Activity 18</t>
  </si>
  <si>
    <t>Emp ID</t>
  </si>
  <si>
    <t>Date Of Birth</t>
  </si>
  <si>
    <t>Retirement In A Year</t>
  </si>
  <si>
    <t>Henry Carpenter</t>
  </si>
  <si>
    <t>Thomas Lynch</t>
  </si>
  <si>
    <t>Alberto Mccoy</t>
  </si>
  <si>
    <t>Brett Mack</t>
  </si>
  <si>
    <t>Cheryl Daniels</t>
  </si>
  <si>
    <t>Ira Weber</t>
  </si>
  <si>
    <t>Clinton Sanchez</t>
  </si>
  <si>
    <t>Lola Craig</t>
  </si>
  <si>
    <t>Lucy Parker</t>
  </si>
  <si>
    <t>James Wilkerson</t>
  </si>
  <si>
    <t>HLL101</t>
  </si>
  <si>
    <t>HLL399</t>
  </si>
  <si>
    <t>HLL429</t>
  </si>
  <si>
    <t>HLL469</t>
  </si>
  <si>
    <t>HLL1345</t>
  </si>
  <si>
    <t>HLL2809</t>
  </si>
  <si>
    <t>HLL191</t>
  </si>
  <si>
    <t>HLL3105</t>
  </si>
  <si>
    <t>HLL3751</t>
  </si>
  <si>
    <t>HLL4438</t>
  </si>
  <si>
    <t>Date Of Manufacture</t>
  </si>
  <si>
    <t>Expiry Date</t>
  </si>
  <si>
    <t>Shelf Life In Months</t>
  </si>
  <si>
    <t>Contract term In Years</t>
  </si>
  <si>
    <t>Contract Termination Date</t>
  </si>
  <si>
    <t>Contract Initiation Date</t>
  </si>
  <si>
    <t>Formulas In Column D</t>
  </si>
  <si>
    <t>Samsung Galaxy S10+</t>
  </si>
  <si>
    <t>iPhone 12 Pro</t>
  </si>
  <si>
    <t>Samsung Galaxy S20 Ultra</t>
  </si>
  <si>
    <t>Samsung Galaxy S21+ 5G</t>
  </si>
  <si>
    <t>Galaxy S8</t>
  </si>
  <si>
    <t>2022- Popularity in %</t>
  </si>
  <si>
    <t>Test</t>
  </si>
  <si>
    <t>Test 1</t>
  </si>
  <si>
    <t>Test 2</t>
  </si>
  <si>
    <t>Test 3</t>
  </si>
  <si>
    <t>Test 4</t>
  </si>
  <si>
    <t>Test 5</t>
  </si>
  <si>
    <t>Day 1- Result in cm</t>
  </si>
  <si>
    <t>Day 2- Result in cm</t>
  </si>
  <si>
    <t>Day 3- Result in cm</t>
  </si>
  <si>
    <t>Day 4- Result in cm</t>
  </si>
  <si>
    <t>Day 5- Result in cm</t>
  </si>
  <si>
    <t>cv</t>
  </si>
  <si>
    <t>gf</t>
  </si>
  <si>
    <t>ar</t>
  </si>
  <si>
    <t>as</t>
  </si>
  <si>
    <t>bg</t>
  </si>
  <si>
    <t>Test 6</t>
  </si>
  <si>
    <t>Mode Value in cm</t>
  </si>
  <si>
    <t>Task</t>
  </si>
  <si>
    <t>Task 1</t>
  </si>
  <si>
    <t>Task 2</t>
  </si>
  <si>
    <t>Task 3</t>
  </si>
  <si>
    <t>Task 4</t>
  </si>
  <si>
    <t>Task 5</t>
  </si>
  <si>
    <t>Task 6</t>
  </si>
  <si>
    <t>Estimated Time To Complete A Task (Days)</t>
  </si>
  <si>
    <t>Mode - Estimated Time To Complete A Task (Days)</t>
  </si>
  <si>
    <t>New York</t>
  </si>
  <si>
    <t>New Jersey</t>
  </si>
  <si>
    <t>Ohio</t>
  </si>
  <si>
    <t>Illinois</t>
  </si>
  <si>
    <t>Atherton</t>
  </si>
  <si>
    <t>Scarsdale</t>
  </si>
  <si>
    <t>Hillsborough</t>
  </si>
  <si>
    <t>Cherry Hills Village</t>
  </si>
  <si>
    <t>Los Altos Hills</t>
  </si>
  <si>
    <t>Short Hills</t>
  </si>
  <si>
    <t>Highland Park</t>
  </si>
  <si>
    <t>Glencoe</t>
  </si>
  <si>
    <t>Darien</t>
  </si>
  <si>
    <t>West University Place</t>
  </si>
  <si>
    <t>Rumson</t>
  </si>
  <si>
    <t>Bronxville</t>
  </si>
  <si>
    <t>Paradise Valley</t>
  </si>
  <si>
    <t>Old Greenwich</t>
  </si>
  <si>
    <t>The Village of Indian Hill</t>
  </si>
  <si>
    <t>Marks Scored Out Of 50</t>
  </si>
  <si>
    <t>MODE() Output</t>
  </si>
  <si>
    <t>MODE.SNGL() Output</t>
  </si>
  <si>
    <t>MODE.MULT() Output</t>
  </si>
  <si>
    <t>Units Delivered</t>
  </si>
  <si>
    <t>Mode- Units Delivered</t>
  </si>
  <si>
    <t>Mode- Popularity in %</t>
  </si>
  <si>
    <t>Top 15 Richest US Towns</t>
  </si>
  <si>
    <t>US State With Maximum Richest Towns</t>
  </si>
  <si>
    <t>Category</t>
  </si>
  <si>
    <t>Category ID</t>
  </si>
  <si>
    <t>White Bread</t>
  </si>
  <si>
    <t>Wheat</t>
  </si>
  <si>
    <t>Oats</t>
  </si>
  <si>
    <t>Rice</t>
  </si>
  <si>
    <t>Corn</t>
  </si>
  <si>
    <t>Beans</t>
  </si>
  <si>
    <t>Lentils</t>
  </si>
  <si>
    <t>Chickpeas</t>
  </si>
  <si>
    <t>Vegetables</t>
  </si>
  <si>
    <t>Fruits</t>
  </si>
  <si>
    <t>Grains</t>
  </si>
  <si>
    <t>Pulses</t>
  </si>
  <si>
    <t>Dairy Products</t>
  </si>
  <si>
    <r>
      <t xml:space="preserve">Formula in cell C2: </t>
    </r>
    <r>
      <rPr>
        <b/>
        <sz val="11"/>
        <color theme="1"/>
        <rFont val="Calibri"/>
        <family val="2"/>
        <scheme val="minor"/>
      </rPr>
      <t>=SWITCH(B2,1,"Fruits",2,"Vegetables",3,"Dairy Products",4,"Grains",5,"Pulses","Not Categorized")</t>
    </r>
  </si>
  <si>
    <r>
      <t xml:space="preserve">Formula in cell C3: </t>
    </r>
    <r>
      <rPr>
        <b/>
        <sz val="11"/>
        <color theme="1"/>
        <rFont val="Calibri"/>
        <family val="2"/>
        <scheme val="minor"/>
      </rPr>
      <t>=SWITCH(B3,1,"Fruits",2,"Vegetables",3,"Dairy Products",4,"Grains",5,"Pulses","Not Categorized")</t>
    </r>
  </si>
  <si>
    <r>
      <t xml:space="preserve">Formula in cell C4: </t>
    </r>
    <r>
      <rPr>
        <b/>
        <sz val="11"/>
        <color theme="1"/>
        <rFont val="Calibri"/>
        <family val="2"/>
        <scheme val="minor"/>
      </rPr>
      <t>=SWITCH(B4,1,"Fruits",2,"Vegetables",3,"Dairy Products",4,"Grains",5,"Pulses","Not Categorized")</t>
    </r>
  </si>
  <si>
    <r>
      <t xml:space="preserve">Formula in cell C5: </t>
    </r>
    <r>
      <rPr>
        <b/>
        <sz val="11"/>
        <color theme="1"/>
        <rFont val="Calibri"/>
        <family val="2"/>
        <scheme val="minor"/>
      </rPr>
      <t>=SWITCH(B5,1,"Fruits",2,"Vegetables",3,"Dairy Products",4,"Grains",5,"Pulses","Not Categorized")</t>
    </r>
  </si>
  <si>
    <r>
      <t xml:space="preserve">Formula in cell C6: </t>
    </r>
    <r>
      <rPr>
        <b/>
        <sz val="11"/>
        <color theme="1"/>
        <rFont val="Calibri"/>
        <family val="2"/>
        <scheme val="minor"/>
      </rPr>
      <t>=SWITCH(B6,1,"Fruits",2,"Vegetables",3,"Dairy Products",4,"Grains",5,"Pulses","Not Categorized")</t>
    </r>
  </si>
  <si>
    <r>
      <t xml:space="preserve">Formula in cell C7: </t>
    </r>
    <r>
      <rPr>
        <b/>
        <sz val="11"/>
        <color theme="1"/>
        <rFont val="Calibri"/>
        <family val="2"/>
        <scheme val="minor"/>
      </rPr>
      <t>=SWITCH(B7,1,"Fruits",2,"Vegetables",3,"Dairy Products",4,"Grains",5,"Pulses","Not Categorized")</t>
    </r>
  </si>
  <si>
    <r>
      <t xml:space="preserve">Formula in cell C8: </t>
    </r>
    <r>
      <rPr>
        <b/>
        <sz val="11"/>
        <color theme="1"/>
        <rFont val="Calibri"/>
        <family val="2"/>
        <scheme val="minor"/>
      </rPr>
      <t>=SWITCH(B8,1,"Fruits",2,"Vegetables",3,"Dairy Products",4,"Grains",5,"Pulses","Not Categorized")</t>
    </r>
  </si>
  <si>
    <r>
      <t xml:space="preserve">Formula in cell C9: </t>
    </r>
    <r>
      <rPr>
        <b/>
        <sz val="11"/>
        <color theme="1"/>
        <rFont val="Calibri"/>
        <family val="2"/>
        <scheme val="minor"/>
      </rPr>
      <t>=SWITCH(B9,1,"Fruits",2,"Vegetables",3,"Dairy Products",4,"Grains",5,"Pulses","Not Categorized")</t>
    </r>
  </si>
  <si>
    <r>
      <t xml:space="preserve">Formula in cell C10: </t>
    </r>
    <r>
      <rPr>
        <b/>
        <sz val="11"/>
        <color theme="1"/>
        <rFont val="Calibri"/>
        <family val="2"/>
        <scheme val="minor"/>
      </rPr>
      <t>=SWITCH(B10,1,"Fruits",2,"Vegetables",3,"Dairy Products",4,"Grains",5,"Pulses","Not Categorized")</t>
    </r>
  </si>
  <si>
    <r>
      <t xml:space="preserve">Formula in cell C11: </t>
    </r>
    <r>
      <rPr>
        <b/>
        <sz val="11"/>
        <color theme="1"/>
        <rFont val="Calibri"/>
        <family val="2"/>
        <scheme val="minor"/>
      </rPr>
      <t>=SWITCH(B11,1,"Fruits",2,"Vegetables",3,"Dairy Products",4,"Grains",5,"Pulses","Not Categorized")</t>
    </r>
  </si>
  <si>
    <r>
      <t xml:space="preserve">Formula in cell C12: </t>
    </r>
    <r>
      <rPr>
        <b/>
        <sz val="11"/>
        <color theme="1"/>
        <rFont val="Calibri"/>
        <family val="2"/>
        <scheme val="minor"/>
      </rPr>
      <t>=SWITCH(B12,1,"Fruits",2,"Vegetables",3,"Dairy Products",4,"Grains",5,"Pulses","Not Categorized")</t>
    </r>
  </si>
  <si>
    <r>
      <t xml:space="preserve">Formula in cell C13: </t>
    </r>
    <r>
      <rPr>
        <b/>
        <sz val="11"/>
        <color theme="1"/>
        <rFont val="Calibri"/>
        <family val="2"/>
        <scheme val="minor"/>
      </rPr>
      <t>=SWITCH(B13,1,"Fruits",2,"Vegetables",3,"Dairy Products",4,"Grains",5,"Pulses","Not Categorized")</t>
    </r>
  </si>
  <si>
    <r>
      <t xml:space="preserve">Formula in cell C14: </t>
    </r>
    <r>
      <rPr>
        <b/>
        <sz val="11"/>
        <color theme="1"/>
        <rFont val="Calibri"/>
        <family val="2"/>
        <scheme val="minor"/>
      </rPr>
      <t>=SWITCH(B14,1,"Fruits",2,"Vegetables",3,"Dairy Products",4,"Grains",5,"Pulses","Not Categorized")</t>
    </r>
  </si>
  <si>
    <r>
      <t xml:space="preserve">Formula in cell C15: </t>
    </r>
    <r>
      <rPr>
        <b/>
        <sz val="11"/>
        <color theme="1"/>
        <rFont val="Calibri"/>
        <family val="2"/>
        <scheme val="minor"/>
      </rPr>
      <t>=SWITCH(B15,1,"Fruits",2,"Vegetables",3,"Dairy Products",4,"Grains",5,"Pulses","Not Categorized")</t>
    </r>
  </si>
  <si>
    <r>
      <t xml:space="preserve">Formula in cell C16: </t>
    </r>
    <r>
      <rPr>
        <b/>
        <sz val="11"/>
        <color theme="1"/>
        <rFont val="Calibri"/>
        <family val="2"/>
        <scheme val="minor"/>
      </rPr>
      <t>=SWITCH(B16,1,"Fruits",2,"Vegetables",3,"Dairy Products",4,"Grains",5,"Pulses","Not Categorized")</t>
    </r>
  </si>
  <si>
    <r>
      <t xml:space="preserve">Formula in cell C17: </t>
    </r>
    <r>
      <rPr>
        <b/>
        <sz val="11"/>
        <color theme="1"/>
        <rFont val="Calibri"/>
        <family val="2"/>
        <scheme val="minor"/>
      </rPr>
      <t>=SWITCH(B17,1,"Fruits",2,"Vegetables",3,"Dairy Products",4,"Grains",5,"Pulses","Not Categorized")</t>
    </r>
  </si>
  <si>
    <r>
      <t xml:space="preserve">Formula in cell C18: </t>
    </r>
    <r>
      <rPr>
        <b/>
        <sz val="11"/>
        <color theme="1"/>
        <rFont val="Calibri"/>
        <family val="2"/>
        <scheme val="minor"/>
      </rPr>
      <t>=SWITCH(B18,1,"Fruits",2,"Vegetables",3,"Dairy Products",4,"Grains",5,"Pulses","Not Categorized")</t>
    </r>
  </si>
  <si>
    <t>Perry Campbell</t>
  </si>
  <si>
    <t>Christie Tyler</t>
  </si>
  <si>
    <t>Cindy Glover</t>
  </si>
  <si>
    <t>Otis Oliver</t>
  </si>
  <si>
    <t>Brooke Foster</t>
  </si>
  <si>
    <t>Glen West</t>
  </si>
  <si>
    <t>Bennie Malone</t>
  </si>
  <si>
    <t>Gary Pearson</t>
  </si>
  <si>
    <t>Alan Cross</t>
  </si>
  <si>
    <t>Cynthia Walton</t>
  </si>
  <si>
    <t>Rating</t>
  </si>
  <si>
    <t>Performance Appraisal- Rating Scale</t>
  </si>
  <si>
    <t>Aggregate in %</t>
  </si>
  <si>
    <t>Melody Moreno</t>
  </si>
  <si>
    <t>Mabel Barber</t>
  </si>
  <si>
    <t>David Gonzales</t>
  </si>
  <si>
    <t>Gilberto Holt</t>
  </si>
  <si>
    <t>Alfredo Yates</t>
  </si>
  <si>
    <t>Dale Briggs</t>
  </si>
  <si>
    <t>Hubert Simpson</t>
  </si>
  <si>
    <t>Colleen Ball</t>
  </si>
  <si>
    <t>Janice Ballard</t>
  </si>
  <si>
    <t>Cedric Johnston</t>
  </si>
  <si>
    <t>Team Performance Review Meeting</t>
  </si>
  <si>
    <t>Team Meeting 1</t>
  </si>
  <si>
    <t>Team Meeting 2</t>
  </si>
  <si>
    <t>Team Meeting 3</t>
  </si>
  <si>
    <t>Team Meeting 4</t>
  </si>
  <si>
    <t>Team Meeting 5</t>
  </si>
  <si>
    <t>Team Meeting 6</t>
  </si>
  <si>
    <t>Team Meeting 7</t>
  </si>
  <si>
    <t>Team Meeting 8</t>
  </si>
  <si>
    <t>Team Meeting 9</t>
  </si>
  <si>
    <t>Team Meeting 10</t>
  </si>
  <si>
    <t>Quarter (Q1/Q2/Q3/Q4)</t>
  </si>
  <si>
    <t>US State Capital_State Abbreviation</t>
  </si>
  <si>
    <t>Montgomery_AL</t>
  </si>
  <si>
    <t>Juneau_AK</t>
  </si>
  <si>
    <t>Phoenix_AZ</t>
  </si>
  <si>
    <t>Little Rock_AR</t>
  </si>
  <si>
    <t>Sacramento_CA</t>
  </si>
  <si>
    <t>Denver_CO</t>
  </si>
  <si>
    <t>Hartford_CT</t>
  </si>
  <si>
    <t>=IFS(D2=1,A2,D2=2,A3,D2=3,A4,D2=4,A5,D2=5,A6,D2=6,A7,D2=7,A8,D2=8,A9,D2=9,A10,D2=10,A11,D2=11,A12,D2=12,A13)</t>
  </si>
  <si>
    <t>=SWITCH(D2,1,A2,2,A3,3,A4,4,A5,5,A6,6,A7,7,A8,8,A9,9,A10,10,A11,11,A12,12,A13)</t>
  </si>
  <si>
    <t>Month Number</t>
  </si>
  <si>
    <r>
      <t xml:space="preserve">Using </t>
    </r>
    <r>
      <rPr>
        <b/>
        <sz val="11"/>
        <color theme="1"/>
        <rFont val="Calibri"/>
        <family val="2"/>
        <scheme val="minor"/>
      </rPr>
      <t>SWITCH()</t>
    </r>
  </si>
  <si>
    <r>
      <t xml:space="preserve">Using </t>
    </r>
    <r>
      <rPr>
        <b/>
        <sz val="11"/>
        <color theme="1"/>
        <rFont val="Calibri"/>
        <family val="2"/>
        <scheme val="minor"/>
      </rPr>
      <t>IFS()</t>
    </r>
  </si>
  <si>
    <t>Day 1- Test Result in ppm</t>
  </si>
  <si>
    <t>Day 2- Test Result in ppm</t>
  </si>
  <si>
    <t>Day 3- Test Result in ppm</t>
  </si>
  <si>
    <t>Fluctuation in test results.- Desirable outcome</t>
  </si>
  <si>
    <t>A continuous increase in ppm value.- Undesirable outcome</t>
  </si>
  <si>
    <t>A continuous decrease in ppm value.- Undesirable outcome</t>
  </si>
  <si>
    <t>Formulas In Column F</t>
  </si>
  <si>
    <r>
      <t xml:space="preserve">Formula in cell F2: </t>
    </r>
    <r>
      <rPr>
        <b/>
        <sz val="11"/>
        <color theme="1"/>
        <rFont val="Calibri"/>
        <family val="2"/>
        <scheme val="minor"/>
      </rPr>
      <t>=XOR(C2&gt;B2,D2&gt;C2)</t>
    </r>
  </si>
  <si>
    <r>
      <t xml:space="preserve">Formula in cell F3: </t>
    </r>
    <r>
      <rPr>
        <b/>
        <sz val="11"/>
        <color theme="1"/>
        <rFont val="Calibri"/>
        <family val="2"/>
        <scheme val="minor"/>
      </rPr>
      <t>=XOR(C3&gt;B3,D3&gt;C3)</t>
    </r>
  </si>
  <si>
    <r>
      <t xml:space="preserve">Formula in cell F4: </t>
    </r>
    <r>
      <rPr>
        <b/>
        <sz val="11"/>
        <color theme="1"/>
        <rFont val="Calibri"/>
        <family val="2"/>
        <scheme val="minor"/>
      </rPr>
      <t>=XOR(C4&gt;B4,D4&gt;C4)</t>
    </r>
  </si>
  <si>
    <r>
      <t xml:space="preserve">Formula in cell F5: </t>
    </r>
    <r>
      <rPr>
        <b/>
        <sz val="11"/>
        <color theme="1"/>
        <rFont val="Calibri"/>
        <family val="2"/>
        <scheme val="minor"/>
      </rPr>
      <t>=XOR(C5&gt;B5,D5&gt;C5)</t>
    </r>
  </si>
  <si>
    <t>XOR() Output</t>
  </si>
  <si>
    <t>Alpha</t>
  </si>
  <si>
    <t>Beta</t>
  </si>
  <si>
    <t>Condition 1</t>
  </si>
  <si>
    <t>Condition 2</t>
  </si>
  <si>
    <t>Condition 3</t>
  </si>
  <si>
    <t>Condition 4</t>
  </si>
  <si>
    <t>Condition 5</t>
  </si>
  <si>
    <t>10&gt;20</t>
  </si>
  <si>
    <t>10==20</t>
  </si>
  <si>
    <t>9&lt;=23</t>
  </si>
  <si>
    <t>1&gt;-45</t>
  </si>
  <si>
    <t>30==30</t>
  </si>
  <si>
    <t>10&lt;&gt;20</t>
  </si>
  <si>
    <t>90&gt;60</t>
  </si>
  <si>
    <t>Quiz Team</t>
  </si>
  <si>
    <t>Team 1</t>
  </si>
  <si>
    <t>Team 2</t>
  </si>
  <si>
    <t>Team 3</t>
  </si>
  <si>
    <t>Team 4</t>
  </si>
  <si>
    <t>Team 5</t>
  </si>
  <si>
    <t>Round 1</t>
  </si>
  <si>
    <t>Round 2</t>
  </si>
  <si>
    <t>WON</t>
  </si>
  <si>
    <t>LOST</t>
  </si>
  <si>
    <t>Should The Team Play Round 3?</t>
  </si>
  <si>
    <t>value1</t>
  </si>
  <si>
    <t>value2</t>
  </si>
  <si>
    <t>value3</t>
  </si>
  <si>
    <t>Given Values</t>
  </si>
  <si>
    <t>Conditions To Check</t>
  </si>
  <si>
    <t>(100&gt;50), (50&gt;25)</t>
  </si>
  <si>
    <t>(50&gt;100), (50&gt;25)</t>
  </si>
  <si>
    <t>(50&gt;100), (25&gt;50)</t>
  </si>
  <si>
    <t>Logical1</t>
  </si>
  <si>
    <t>Logical2</t>
  </si>
  <si>
    <t>OR()</t>
  </si>
  <si>
    <t>XOR()</t>
  </si>
  <si>
    <t>Test Results Day-wise Comparison</t>
  </si>
  <si>
    <t>MS Excel</t>
  </si>
  <si>
    <t>Error Check- Data</t>
  </si>
  <si>
    <r>
      <t xml:space="preserve">Formula in cell B2: </t>
    </r>
    <r>
      <rPr>
        <b/>
        <sz val="11"/>
        <color theme="1"/>
        <rFont val="Calibri"/>
        <family val="2"/>
        <scheme val="minor"/>
      </rPr>
      <t>=ISERROR(A2)</t>
    </r>
  </si>
  <si>
    <r>
      <t xml:space="preserve">Formula in cell B3: </t>
    </r>
    <r>
      <rPr>
        <b/>
        <sz val="11"/>
        <color theme="1"/>
        <rFont val="Calibri"/>
        <family val="2"/>
        <scheme val="minor"/>
      </rPr>
      <t>=ISERROR(A3)</t>
    </r>
  </si>
  <si>
    <r>
      <t xml:space="preserve">Formula in cell B4: </t>
    </r>
    <r>
      <rPr>
        <b/>
        <sz val="11"/>
        <color theme="1"/>
        <rFont val="Calibri"/>
        <family val="2"/>
        <scheme val="minor"/>
      </rPr>
      <t>=ISERROR(A4)</t>
    </r>
  </si>
  <si>
    <r>
      <t xml:space="preserve">Formula in cell B5: </t>
    </r>
    <r>
      <rPr>
        <b/>
        <sz val="11"/>
        <color theme="1"/>
        <rFont val="Calibri"/>
        <family val="2"/>
        <scheme val="minor"/>
      </rPr>
      <t>=ISERROR(A5)</t>
    </r>
  </si>
  <si>
    <r>
      <t xml:space="preserve">Formula in cell B6: </t>
    </r>
    <r>
      <rPr>
        <b/>
        <sz val="11"/>
        <color theme="1"/>
        <rFont val="Calibri"/>
        <family val="2"/>
        <scheme val="minor"/>
      </rPr>
      <t>=ISERROR(A6)</t>
    </r>
  </si>
  <si>
    <r>
      <t xml:space="preserve">Formula in cell B7: </t>
    </r>
    <r>
      <rPr>
        <b/>
        <sz val="11"/>
        <color theme="1"/>
        <rFont val="Calibri"/>
        <family val="2"/>
        <scheme val="minor"/>
      </rPr>
      <t>=ISERROR(A7)</t>
    </r>
  </si>
  <si>
    <r>
      <t xml:space="preserve">Formula in cell B8: </t>
    </r>
    <r>
      <rPr>
        <b/>
        <sz val="11"/>
        <color theme="1"/>
        <rFont val="Calibri"/>
        <family val="2"/>
        <scheme val="minor"/>
      </rPr>
      <t>=ISERROR(A8)</t>
    </r>
  </si>
  <si>
    <r>
      <t xml:space="preserve">Formula in cell B9: </t>
    </r>
    <r>
      <rPr>
        <b/>
        <sz val="11"/>
        <color theme="1"/>
        <rFont val="Calibri"/>
        <family val="2"/>
        <scheme val="minor"/>
      </rPr>
      <t>=ISERROR(A9)</t>
    </r>
  </si>
  <si>
    <r>
      <t xml:space="preserve">Formula in cell B10: </t>
    </r>
    <r>
      <rPr>
        <b/>
        <sz val="11"/>
        <color theme="1"/>
        <rFont val="Calibri"/>
        <family val="2"/>
        <scheme val="minor"/>
      </rPr>
      <t>=ISERROR(A10)</t>
    </r>
  </si>
  <si>
    <r>
      <t xml:space="preserve">Formula in cell B11: </t>
    </r>
    <r>
      <rPr>
        <b/>
        <sz val="11"/>
        <color theme="1"/>
        <rFont val="Calibri"/>
        <family val="2"/>
        <scheme val="minor"/>
      </rPr>
      <t>=ISERROR(A11)</t>
    </r>
  </si>
  <si>
    <r>
      <t xml:space="preserve">Formula in cell B12: </t>
    </r>
    <r>
      <rPr>
        <b/>
        <sz val="11"/>
        <color theme="1"/>
        <rFont val="Calibri"/>
        <family val="2"/>
        <scheme val="minor"/>
      </rPr>
      <t>=ISERROR(A12)</t>
    </r>
  </si>
  <si>
    <t>c</t>
  </si>
  <si>
    <t>Division</t>
  </si>
  <si>
    <t>Subtraction</t>
  </si>
  <si>
    <t>Addition</t>
  </si>
  <si>
    <t>Exponent</t>
  </si>
  <si>
    <t>Multiplication</t>
  </si>
  <si>
    <t>Error Check- Output</t>
  </si>
  <si>
    <r>
      <t xml:space="preserve">Formula in cell D2: </t>
    </r>
    <r>
      <rPr>
        <b/>
        <sz val="11"/>
        <color theme="1"/>
        <rFont val="Calibri"/>
        <family val="2"/>
        <scheme val="minor"/>
      </rPr>
      <t>=SUM(A2 B2)</t>
    </r>
  </si>
  <si>
    <r>
      <t xml:space="preserve">Formula in cell D3: </t>
    </r>
    <r>
      <rPr>
        <b/>
        <sz val="11"/>
        <color theme="1"/>
        <rFont val="Calibri"/>
        <family val="2"/>
        <scheme val="minor"/>
      </rPr>
      <t>=A3-B3</t>
    </r>
  </si>
  <si>
    <r>
      <t xml:space="preserve">Formula in cell D4: </t>
    </r>
    <r>
      <rPr>
        <b/>
        <sz val="11"/>
        <color theme="1"/>
        <rFont val="Calibri"/>
        <family val="2"/>
        <scheme val="minor"/>
      </rPr>
      <t>=A4*B4</t>
    </r>
  </si>
  <si>
    <r>
      <t xml:space="preserve">Formula in cell D5: </t>
    </r>
    <r>
      <rPr>
        <b/>
        <sz val="11"/>
        <color theme="1"/>
        <rFont val="Calibri"/>
        <family val="2"/>
        <scheme val="minor"/>
      </rPr>
      <t>=A5/B5</t>
    </r>
  </si>
  <si>
    <r>
      <t xml:space="preserve">Formula in cell D6: </t>
    </r>
    <r>
      <rPr>
        <b/>
        <sz val="11"/>
        <color theme="1"/>
        <rFont val="Calibri"/>
        <family val="2"/>
        <scheme val="minor"/>
      </rPr>
      <t>=A6^B6</t>
    </r>
  </si>
  <si>
    <t>Total Inventory Cost in $</t>
  </si>
  <si>
    <t>Number Of Units Ordered</t>
  </si>
  <si>
    <t>N/A</t>
  </si>
  <si>
    <t>$$$***</t>
  </si>
  <si>
    <t>Quiz Participants</t>
  </si>
  <si>
    <t>Karl Webb</t>
  </si>
  <si>
    <t>Violet Hamilton</t>
  </si>
  <si>
    <t>Seth Mckinney</t>
  </si>
  <si>
    <t>Margarita Duncan</t>
  </si>
  <si>
    <t>Tami Mason</t>
  </si>
  <si>
    <t>Susan Chapman</t>
  </si>
  <si>
    <t>Casey Medina</t>
  </si>
  <si>
    <t>Boyd Rodriguez</t>
  </si>
  <si>
    <t>Lindsay Payne</t>
  </si>
  <si>
    <t>Sherry Powers</t>
  </si>
  <si>
    <t>Quiz Participation Check</t>
  </si>
  <si>
    <t>Participation Status</t>
  </si>
  <si>
    <t>Lyle Colon</t>
  </si>
  <si>
    <t>Josh Bradley</t>
  </si>
  <si>
    <t>Forrest Hoffman</t>
  </si>
  <si>
    <t>Ernest Thompson</t>
  </si>
  <si>
    <t>Ricardo Carter</t>
  </si>
  <si>
    <t>Edwin Watkins</t>
  </si>
  <si>
    <t>Allan Steele</t>
  </si>
  <si>
    <t>Rebecca Anderson</t>
  </si>
  <si>
    <t>Jay Pearson</t>
  </si>
  <si>
    <t>Ruth Robbins</t>
  </si>
  <si>
    <t>Input 1</t>
  </si>
  <si>
    <t>Input 2</t>
  </si>
  <si>
    <t>###</t>
  </si>
  <si>
    <r>
      <t xml:space="preserve">Formula in cell C2: </t>
    </r>
    <r>
      <rPr>
        <b/>
        <sz val="11"/>
        <color theme="1"/>
        <rFont val="Calibri"/>
        <family val="2"/>
        <scheme val="minor"/>
      </rPr>
      <t>=SUM(A2 B2,B2)</t>
    </r>
  </si>
  <si>
    <r>
      <t xml:space="preserve">Formula in cell C3: </t>
    </r>
    <r>
      <rPr>
        <b/>
        <sz val="11"/>
        <color theme="1"/>
        <rFont val="Calibri"/>
        <family val="2"/>
        <scheme val="minor"/>
      </rPr>
      <t>=A3^B3</t>
    </r>
  </si>
  <si>
    <r>
      <t xml:space="preserve">Formula in cell C4: </t>
    </r>
    <r>
      <rPr>
        <b/>
        <sz val="11"/>
        <color theme="1"/>
        <rFont val="Calibri"/>
        <family val="2"/>
        <scheme val="minor"/>
      </rPr>
      <t>=SUM(A4:B4)</t>
    </r>
  </si>
  <si>
    <r>
      <t xml:space="preserve">Formula in cell C5: </t>
    </r>
    <r>
      <rPr>
        <b/>
        <sz val="11"/>
        <color theme="1"/>
        <rFont val="Calibri"/>
        <family val="2"/>
        <scheme val="minor"/>
      </rPr>
      <t>=A5/B5</t>
    </r>
  </si>
  <si>
    <r>
      <t xml:space="preserve">Formula in cell C6: </t>
    </r>
    <r>
      <rPr>
        <b/>
        <sz val="11"/>
        <color theme="1"/>
        <rFont val="Calibri"/>
        <family val="2"/>
        <scheme val="minor"/>
      </rPr>
      <t>=MOD(A6,B6)</t>
    </r>
  </si>
  <si>
    <r>
      <t xml:space="preserve">Formula in cell C8: </t>
    </r>
    <r>
      <rPr>
        <b/>
        <sz val="11"/>
        <color theme="1"/>
        <rFont val="Calibri"/>
        <family val="2"/>
        <scheme val="minor"/>
      </rPr>
      <t>=A8*B8</t>
    </r>
  </si>
  <si>
    <r>
      <t xml:space="preserve">Formula in cell C7: </t>
    </r>
    <r>
      <rPr>
        <b/>
        <sz val="11"/>
        <color theme="1"/>
        <rFont val="Calibri"/>
        <family val="2"/>
        <scheme val="minor"/>
      </rPr>
      <t>=A7-B7</t>
    </r>
  </si>
  <si>
    <t>Error Count</t>
  </si>
  <si>
    <t>Athlete</t>
  </si>
  <si>
    <t>Time In seconds</t>
  </si>
  <si>
    <t>Carl Huff</t>
  </si>
  <si>
    <t>Jeremy Greer</t>
  </si>
  <si>
    <t>Eddie Powers</t>
  </si>
  <si>
    <t>Ronald Alvarado</t>
  </si>
  <si>
    <t>Russell Wolfe</t>
  </si>
  <si>
    <t>Status (Time In seconds/Not Qualified)</t>
  </si>
  <si>
    <t>Daniel Reynolds</t>
  </si>
  <si>
    <t>Dale Ingram</t>
  </si>
  <si>
    <t>Alex Phelps</t>
  </si>
  <si>
    <t>Wesley Rodriguez</t>
  </si>
  <si>
    <t>Homer Briggs</t>
  </si>
  <si>
    <t>Marcos Lane</t>
  </si>
  <si>
    <t>Lowell Vasquez</t>
  </si>
  <si>
    <t>Round 1- Qualified Athletes</t>
  </si>
  <si>
    <t>Round 1- Qualification Status</t>
  </si>
  <si>
    <t>James Rhode</t>
  </si>
  <si>
    <t>Error Check Using ISERROR()</t>
  </si>
  <si>
    <t>End Date</t>
  </si>
  <si>
    <t>Count Of Working Days</t>
  </si>
  <si>
    <r>
      <t xml:space="preserve">Formula in cell D2: </t>
    </r>
    <r>
      <rPr>
        <b/>
        <sz val="11"/>
        <color theme="1"/>
        <rFont val="Calibri"/>
        <family val="2"/>
        <scheme val="minor"/>
      </rPr>
      <t>=NETWORKDAYS(A2,B2)</t>
    </r>
  </si>
  <si>
    <r>
      <t xml:space="preserve">Formula in cell D3: </t>
    </r>
    <r>
      <rPr>
        <b/>
        <sz val="11"/>
        <color theme="1"/>
        <rFont val="Calibri"/>
        <family val="2"/>
        <scheme val="minor"/>
      </rPr>
      <t>=NETWORKDAYS(A3,B3)</t>
    </r>
  </si>
  <si>
    <r>
      <t xml:space="preserve">Formula in cell D4: </t>
    </r>
    <r>
      <rPr>
        <b/>
        <sz val="11"/>
        <color theme="1"/>
        <rFont val="Calibri"/>
        <family val="2"/>
        <scheme val="minor"/>
      </rPr>
      <t>=NETWORKDAYS(A4,B4,C4)</t>
    </r>
  </si>
  <si>
    <r>
      <t xml:space="preserve">Formula in cell D5: </t>
    </r>
    <r>
      <rPr>
        <b/>
        <sz val="11"/>
        <color theme="1"/>
        <rFont val="Calibri"/>
        <family val="2"/>
        <scheme val="minor"/>
      </rPr>
      <t>=NETWORKDAYS(A5,B5,C5:C7)</t>
    </r>
  </si>
  <si>
    <t>Number Of Workdays</t>
  </si>
  <si>
    <t>Holiday Name</t>
  </si>
  <si>
    <t>New Year's Day</t>
  </si>
  <si>
    <t>Martin Luther King Jr. Day</t>
  </si>
  <si>
    <t>President's Day</t>
  </si>
  <si>
    <t>Easter Sunday</t>
  </si>
  <si>
    <t>Memorial Day</t>
  </si>
  <si>
    <t>Independence Day</t>
  </si>
  <si>
    <t>Exclude weekends and holidays in February.</t>
  </si>
  <si>
    <t>Exclude weekends.</t>
  </si>
  <si>
    <t>Exclude weekends and all the listed holidays.</t>
  </si>
  <si>
    <t>Exclude weekends and holidays in May.</t>
  </si>
  <si>
    <t>Exclude weekends and holidays in April.</t>
  </si>
  <si>
    <t>Number of workdays in past three months, excluding weekends.</t>
  </si>
  <si>
    <t>Per Day Working Hours</t>
  </si>
  <si>
    <t>Monday</t>
  </si>
  <si>
    <t>Thursday</t>
  </si>
  <si>
    <t>Net Workdays</t>
  </si>
  <si>
    <t>Net Workdays Per Month</t>
  </si>
  <si>
    <t>Total Hours Worked On Workdays</t>
  </si>
  <si>
    <t>Holidays-2022</t>
  </si>
  <si>
    <t>Juneteenth</t>
  </si>
  <si>
    <t>Labor Day</t>
  </si>
  <si>
    <t>Columbus Day</t>
  </si>
  <si>
    <t>Veterans Day</t>
  </si>
  <si>
    <t>Christmas</t>
  </si>
  <si>
    <t>Condition</t>
  </si>
  <si>
    <t>Yearly Salary In $</t>
  </si>
  <si>
    <t>Per Workday Wage In $</t>
  </si>
  <si>
    <t>Net Workdays &gt;= 251</t>
  </si>
  <si>
    <t>Excluding weekends.</t>
  </si>
  <si>
    <t>Excluding weekends and listed holidays.</t>
  </si>
  <si>
    <t>First Working Date</t>
  </si>
  <si>
    <t>Last Working Date</t>
  </si>
  <si>
    <t>6/31/2022</t>
  </si>
  <si>
    <t>Final Date</t>
  </si>
  <si>
    <t>Net Working Days</t>
  </si>
  <si>
    <t>Workdays Calculation Condition</t>
  </si>
  <si>
    <t>Net Workdays &lt;= 250</t>
  </si>
  <si>
    <t>Candidate</t>
  </si>
  <si>
    <t>Brendan Matthews</t>
  </si>
  <si>
    <t>Derrick Ferguson</t>
  </si>
  <si>
    <t>Colin Tran</t>
  </si>
  <si>
    <t>Tom Owen</t>
  </si>
  <si>
    <t>Dale Simmons</t>
  </si>
  <si>
    <t>Arthur Davis</t>
  </si>
  <si>
    <t>Carlton Shelton</t>
  </si>
  <si>
    <t>Andre Austin</t>
  </si>
  <si>
    <t>Kevin Fitzgerald</t>
  </si>
  <si>
    <t>Tomas Schwartz</t>
  </si>
  <si>
    <t>k</t>
  </si>
  <si>
    <r>
      <t>Required k</t>
    </r>
    <r>
      <rPr>
        <b/>
        <vertAlign val="superscript"/>
        <sz val="11"/>
        <color theme="0"/>
        <rFont val="Calibri"/>
        <family val="2"/>
        <scheme val="minor"/>
      </rPr>
      <t>th</t>
    </r>
    <r>
      <rPr>
        <b/>
        <sz val="11"/>
        <color theme="0"/>
        <rFont val="Calibri"/>
        <family val="2"/>
        <scheme val="minor"/>
      </rPr>
      <t xml:space="preserve"> Percentile</t>
    </r>
  </si>
  <si>
    <t>Formulas In Column G</t>
  </si>
  <si>
    <r>
      <t xml:space="preserve">Formula in cell G3: </t>
    </r>
    <r>
      <rPr>
        <b/>
        <sz val="11"/>
        <color theme="1"/>
        <rFont val="Calibri"/>
        <family val="2"/>
        <scheme val="minor"/>
      </rPr>
      <t>=PERCENTILE($B$2:$B$11,E3)</t>
    </r>
  </si>
  <si>
    <r>
      <t xml:space="preserve">Formula in cell G4: </t>
    </r>
    <r>
      <rPr>
        <b/>
        <sz val="11"/>
        <color theme="1"/>
        <rFont val="Calibri"/>
        <family val="2"/>
        <scheme val="minor"/>
      </rPr>
      <t>=PERCENTILE($B$2:$B$11,E4)</t>
    </r>
  </si>
  <si>
    <r>
      <t xml:space="preserve">Formula in cell G5: </t>
    </r>
    <r>
      <rPr>
        <b/>
        <sz val="11"/>
        <color theme="1"/>
        <rFont val="Calibri"/>
        <family val="2"/>
        <scheme val="minor"/>
      </rPr>
      <t>=PERCENTILE($B$2:$B$11,E5)</t>
    </r>
  </si>
  <si>
    <r>
      <t xml:space="preserve">Formula in cell G6: </t>
    </r>
    <r>
      <rPr>
        <b/>
        <sz val="11"/>
        <color theme="1"/>
        <rFont val="Calibri"/>
        <family val="2"/>
        <scheme val="minor"/>
      </rPr>
      <t>=PERCENTILE($B$2:$B$11,E6)</t>
    </r>
  </si>
  <si>
    <r>
      <t>20</t>
    </r>
    <r>
      <rPr>
        <vertAlign val="superscript"/>
        <sz val="11"/>
        <color theme="1"/>
        <rFont val="Calibri"/>
        <family val="2"/>
        <scheme val="minor"/>
      </rPr>
      <t>th</t>
    </r>
    <r>
      <rPr>
        <sz val="11"/>
        <color theme="1"/>
        <rFont val="Calibri"/>
        <family val="2"/>
        <scheme val="minor"/>
      </rPr>
      <t xml:space="preserve"> Percentile</t>
    </r>
  </si>
  <si>
    <r>
      <t>30</t>
    </r>
    <r>
      <rPr>
        <vertAlign val="superscript"/>
        <sz val="11"/>
        <color theme="1"/>
        <rFont val="Calibri"/>
        <family val="2"/>
        <scheme val="minor"/>
      </rPr>
      <t>th</t>
    </r>
    <r>
      <rPr>
        <sz val="11"/>
        <color theme="1"/>
        <rFont val="Calibri"/>
        <family val="2"/>
        <scheme val="minor"/>
      </rPr>
      <t xml:space="preserve"> Percentile</t>
    </r>
  </si>
  <si>
    <r>
      <t>50</t>
    </r>
    <r>
      <rPr>
        <vertAlign val="superscript"/>
        <sz val="11"/>
        <color theme="1"/>
        <rFont val="Calibri"/>
        <family val="2"/>
        <scheme val="minor"/>
      </rPr>
      <t>th</t>
    </r>
    <r>
      <rPr>
        <sz val="11"/>
        <color theme="1"/>
        <rFont val="Calibri"/>
        <family val="2"/>
        <scheme val="minor"/>
      </rPr>
      <t xml:space="preserve"> Percentile</t>
    </r>
  </si>
  <si>
    <r>
      <t>70</t>
    </r>
    <r>
      <rPr>
        <vertAlign val="superscript"/>
        <sz val="11"/>
        <color theme="1"/>
        <rFont val="Calibri"/>
        <family val="2"/>
        <scheme val="minor"/>
      </rPr>
      <t>th</t>
    </r>
    <r>
      <rPr>
        <sz val="11"/>
        <color theme="1"/>
        <rFont val="Calibri"/>
        <family val="2"/>
        <scheme val="minor"/>
      </rPr>
      <t xml:space="preserve"> Percentile</t>
    </r>
  </si>
  <si>
    <r>
      <t>90</t>
    </r>
    <r>
      <rPr>
        <vertAlign val="superscript"/>
        <sz val="11"/>
        <color theme="1"/>
        <rFont val="Calibri"/>
        <family val="2"/>
        <scheme val="minor"/>
      </rPr>
      <t>th</t>
    </r>
    <r>
      <rPr>
        <sz val="11"/>
        <color theme="1"/>
        <rFont val="Calibri"/>
        <family val="2"/>
        <scheme val="minor"/>
      </rPr>
      <t xml:space="preserve"> Percentile</t>
    </r>
  </si>
  <si>
    <t>Result In cm</t>
  </si>
  <si>
    <t>Candidate Percentile Calculation (Based On Height In cm)</t>
  </si>
  <si>
    <r>
      <t xml:space="preserve">Formula in cell G7: </t>
    </r>
    <r>
      <rPr>
        <b/>
        <sz val="11"/>
        <color theme="1"/>
        <rFont val="Calibri"/>
        <family val="2"/>
        <scheme val="minor"/>
      </rPr>
      <t>=PERCENTILE($B$2:$B$11,E7)</t>
    </r>
  </si>
  <si>
    <t>Mathematics - Score Out Of 100</t>
  </si>
  <si>
    <t>Marianne Chambers</t>
  </si>
  <si>
    <t>Abel Townsend</t>
  </si>
  <si>
    <t>Jeannie Perkins</t>
  </si>
  <si>
    <t>Christina Cruz</t>
  </si>
  <si>
    <t>Lillian Thomas</t>
  </si>
  <si>
    <t>Gregg Jacobs</t>
  </si>
  <si>
    <t>Gabriel Day</t>
  </si>
  <si>
    <t>Bethany Norman</t>
  </si>
  <si>
    <t>Maria Owens</t>
  </si>
  <si>
    <t>Nathan Mitchell</t>
  </si>
  <si>
    <r>
      <t>25</t>
    </r>
    <r>
      <rPr>
        <b/>
        <vertAlign val="superscript"/>
        <sz val="11"/>
        <color theme="0"/>
        <rFont val="Calibri"/>
        <family val="2"/>
        <scheme val="minor"/>
      </rPr>
      <t>th</t>
    </r>
    <r>
      <rPr>
        <b/>
        <sz val="11"/>
        <color theme="0"/>
        <rFont val="Calibri"/>
        <family val="2"/>
        <scheme val="minor"/>
      </rPr>
      <t xml:space="preserve"> Percentile Value</t>
    </r>
  </si>
  <si>
    <t>Age In Years</t>
  </si>
  <si>
    <t>Applicant 1</t>
  </si>
  <si>
    <t>Applicant 2</t>
  </si>
  <si>
    <t>Applicant 3</t>
  </si>
  <si>
    <t>Applicant 4</t>
  </si>
  <si>
    <t>Applicant 5</t>
  </si>
  <si>
    <t>Applicant 6</t>
  </si>
  <si>
    <r>
      <t>50</t>
    </r>
    <r>
      <rPr>
        <b/>
        <vertAlign val="superscript"/>
        <sz val="11"/>
        <color theme="0"/>
        <rFont val="Calibri"/>
        <family val="2"/>
        <scheme val="minor"/>
      </rPr>
      <t>th</t>
    </r>
    <r>
      <rPr>
        <b/>
        <sz val="11"/>
        <color theme="0"/>
        <rFont val="Calibri"/>
        <family val="2"/>
        <scheme val="minor"/>
      </rPr>
      <t xml:space="preserve"> Percentile</t>
    </r>
  </si>
  <si>
    <r>
      <t>40</t>
    </r>
    <r>
      <rPr>
        <b/>
        <vertAlign val="superscript"/>
        <sz val="11"/>
        <color theme="0"/>
        <rFont val="Calibri"/>
        <family val="2"/>
        <scheme val="minor"/>
      </rPr>
      <t>th</t>
    </r>
    <r>
      <rPr>
        <b/>
        <sz val="11"/>
        <color theme="0"/>
        <rFont val="Calibri"/>
        <family val="2"/>
        <scheme val="minor"/>
      </rPr>
      <t xml:space="preserve"> Percentile</t>
    </r>
  </si>
  <si>
    <t>Average Household Income in $</t>
  </si>
  <si>
    <t>CA</t>
  </si>
  <si>
    <t>NY</t>
  </si>
  <si>
    <t>CO</t>
  </si>
  <si>
    <t>NJ</t>
  </si>
  <si>
    <t>TX</t>
  </si>
  <si>
    <t>CT</t>
  </si>
  <si>
    <t>IL</t>
  </si>
  <si>
    <t>Monthly Salary In $</t>
  </si>
  <si>
    <t>Nathaniel Haynes</t>
  </si>
  <si>
    <t>Maryann Taylor</t>
  </si>
  <si>
    <t>Eddie Robinson</t>
  </si>
  <si>
    <t>Frank Rhodes</t>
  </si>
  <si>
    <t>Cory Sharp</t>
  </si>
  <si>
    <t>Louis Dunn</t>
  </si>
  <si>
    <t>Simon Lloyd</t>
  </si>
  <si>
    <t>Terri Vega</t>
  </si>
  <si>
    <t>Krystal Farmer</t>
  </si>
  <si>
    <t>Geneva Salazar</t>
  </si>
  <si>
    <t>PERCENTILE.INC()</t>
  </si>
  <si>
    <t>PERCENTILE()</t>
  </si>
  <si>
    <r>
      <t>90</t>
    </r>
    <r>
      <rPr>
        <b/>
        <vertAlign val="superscript"/>
        <sz val="11"/>
        <color theme="0"/>
        <rFont val="Calibri"/>
        <family val="2"/>
        <scheme val="minor"/>
      </rPr>
      <t>th</t>
    </r>
    <r>
      <rPr>
        <b/>
        <sz val="11"/>
        <color theme="0"/>
        <rFont val="Calibri"/>
        <family val="2"/>
        <scheme val="minor"/>
      </rPr>
      <t xml:space="preserve"> Percentile</t>
    </r>
  </si>
  <si>
    <r>
      <t>95</t>
    </r>
    <r>
      <rPr>
        <b/>
        <vertAlign val="superscript"/>
        <sz val="11"/>
        <color theme="0"/>
        <rFont val="Calibri"/>
        <family val="2"/>
        <scheme val="minor"/>
      </rPr>
      <t>th</t>
    </r>
    <r>
      <rPr>
        <b/>
        <sz val="11"/>
        <color theme="0"/>
        <rFont val="Calibri"/>
        <family val="2"/>
        <scheme val="minor"/>
      </rPr>
      <t xml:space="preserve"> Percentile</t>
    </r>
  </si>
  <si>
    <t>Aggregate In %</t>
  </si>
  <si>
    <t>Rosemarie Wright</t>
  </si>
  <si>
    <t>Muriel Duncan</t>
  </si>
  <si>
    <t>Crystal Ryan</t>
  </si>
  <si>
    <t>Emma Klein</t>
  </si>
  <si>
    <t>Drew Fisher</t>
  </si>
  <si>
    <t>Chad Moreno</t>
  </si>
  <si>
    <t>Belinda Martin</t>
  </si>
  <si>
    <t>Seth Walters</t>
  </si>
  <si>
    <t>Eula Coleman</t>
  </si>
  <si>
    <t>Suzanne Mccormick</t>
  </si>
  <si>
    <r>
      <t>90</t>
    </r>
    <r>
      <rPr>
        <b/>
        <vertAlign val="superscript"/>
        <sz val="11"/>
        <color theme="0"/>
        <rFont val="Calibri"/>
        <family val="2"/>
        <scheme val="minor"/>
      </rPr>
      <t xml:space="preserve">th </t>
    </r>
    <r>
      <rPr>
        <b/>
        <sz val="11"/>
        <color theme="0"/>
        <rFont val="Calibri"/>
        <family val="2"/>
        <scheme val="minor"/>
      </rPr>
      <t>Percentile</t>
    </r>
  </si>
  <si>
    <t>Prefectorial Board</t>
  </si>
  <si>
    <t>Rank Holder</t>
  </si>
  <si>
    <t>Top Performing Students Data- Prefectorial Board And Rank Holders</t>
  </si>
  <si>
    <t>Rounded Down Value</t>
  </si>
  <si>
    <t>Round down value to nearest 1000000</t>
  </si>
  <si>
    <t>Round down value to nearest 10000</t>
  </si>
  <si>
    <t>Round down value to nearest 100</t>
  </si>
  <si>
    <r>
      <t xml:space="preserve">Formula in cell D2: </t>
    </r>
    <r>
      <rPr>
        <b/>
        <sz val="11"/>
        <color theme="1"/>
        <rFont val="Calibri"/>
        <family val="2"/>
        <scheme val="minor"/>
      </rPr>
      <t>=ROUNDDOWN(A2,C2)</t>
    </r>
  </si>
  <si>
    <r>
      <t xml:space="preserve">Formula in cell D3: </t>
    </r>
    <r>
      <rPr>
        <b/>
        <sz val="11"/>
        <color theme="1"/>
        <rFont val="Calibri"/>
        <family val="2"/>
        <scheme val="minor"/>
      </rPr>
      <t>=ROUNDDOWN(A3,C3)</t>
    </r>
  </si>
  <si>
    <r>
      <t xml:space="preserve">Formula in cell D4: </t>
    </r>
    <r>
      <rPr>
        <b/>
        <sz val="11"/>
        <color theme="1"/>
        <rFont val="Calibri"/>
        <family val="2"/>
        <scheme val="minor"/>
      </rPr>
      <t>=ROUNDDOWN(A4,C4)</t>
    </r>
  </si>
  <si>
    <r>
      <t xml:space="preserve">Formula in cell D5: </t>
    </r>
    <r>
      <rPr>
        <b/>
        <sz val="11"/>
        <color theme="1"/>
        <rFont val="Calibri"/>
        <family val="2"/>
        <scheme val="minor"/>
      </rPr>
      <t>=ROUNDDOWN(A5,C5)</t>
    </r>
  </si>
  <si>
    <r>
      <t xml:space="preserve">Formula in cell D6: </t>
    </r>
    <r>
      <rPr>
        <b/>
        <sz val="11"/>
        <color theme="1"/>
        <rFont val="Calibri"/>
        <family val="2"/>
        <scheme val="minor"/>
      </rPr>
      <t>=ROUNDDOWN(A6,C6)</t>
    </r>
  </si>
  <si>
    <r>
      <t xml:space="preserve">Formula in cell D7: </t>
    </r>
    <r>
      <rPr>
        <b/>
        <sz val="11"/>
        <color theme="1"/>
        <rFont val="Calibri"/>
        <family val="2"/>
        <scheme val="minor"/>
      </rPr>
      <t>=ROUNDDOWN(A7,C7)</t>
    </r>
  </si>
  <si>
    <r>
      <t xml:space="preserve">Formula in cell D8: </t>
    </r>
    <r>
      <rPr>
        <b/>
        <sz val="11"/>
        <color theme="1"/>
        <rFont val="Calibri"/>
        <family val="2"/>
        <scheme val="minor"/>
      </rPr>
      <t>=ROUNDDOWN(A8,C8)</t>
    </r>
  </si>
  <si>
    <t>Number Of Digits To Round Down Value To</t>
  </si>
  <si>
    <t>Round down value to two decimal places.</t>
  </si>
  <si>
    <t>Round down value to four decimal places.</t>
  </si>
  <si>
    <t>Round down value to six decimal places.</t>
  </si>
  <si>
    <t>Round down value to nearest integer.</t>
  </si>
  <si>
    <t>Rounded Down Price (2 Decimals) In $</t>
  </si>
  <si>
    <t>BIAF</t>
  </si>
  <si>
    <t>One Day Change In Share Value In USD</t>
  </si>
  <si>
    <t>EGAN</t>
  </si>
  <si>
    <t>TPIC</t>
  </si>
  <si>
    <t>GCT</t>
  </si>
  <si>
    <t>FIZZ</t>
  </si>
  <si>
    <t>Rounded Down- One Day Change In Share Value In USD</t>
  </si>
  <si>
    <t>Rounded Down To Nearest Integer- Mathematical Operation Result</t>
  </si>
  <si>
    <t>Quantity In kg</t>
  </si>
  <si>
    <t>Rounded Down- Quantity In kg</t>
  </si>
  <si>
    <t>Num_Digit</t>
  </si>
  <si>
    <t>ROUNDDOWN() Output</t>
  </si>
  <si>
    <t>Result (TRUE/FALSE)</t>
  </si>
  <si>
    <t>Facebook</t>
  </si>
  <si>
    <r>
      <t xml:space="preserve">Formula in cell B2: </t>
    </r>
    <r>
      <rPr>
        <b/>
        <sz val="11"/>
        <color theme="1"/>
        <rFont val="Calibri"/>
        <family val="2"/>
        <scheme val="minor"/>
      </rPr>
      <t>=ISNA(A2)</t>
    </r>
  </si>
  <si>
    <r>
      <t xml:space="preserve">Formula in cell B3: </t>
    </r>
    <r>
      <rPr>
        <b/>
        <sz val="11"/>
        <color theme="1"/>
        <rFont val="Calibri"/>
        <family val="2"/>
        <scheme val="minor"/>
      </rPr>
      <t>=ISNA(A3)</t>
    </r>
  </si>
  <si>
    <r>
      <t xml:space="preserve">Formula in cell B4: </t>
    </r>
    <r>
      <rPr>
        <b/>
        <sz val="11"/>
        <color theme="1"/>
        <rFont val="Calibri"/>
        <family val="2"/>
        <scheme val="minor"/>
      </rPr>
      <t>=ISNA(A4)</t>
    </r>
  </si>
  <si>
    <r>
      <t xml:space="preserve">Formula in cell B5: </t>
    </r>
    <r>
      <rPr>
        <b/>
        <sz val="11"/>
        <color theme="1"/>
        <rFont val="Calibri"/>
        <family val="2"/>
        <scheme val="minor"/>
      </rPr>
      <t>=ISNA(A5)</t>
    </r>
  </si>
  <si>
    <r>
      <t xml:space="preserve">Formula in cell B6: </t>
    </r>
    <r>
      <rPr>
        <b/>
        <sz val="11"/>
        <color theme="1"/>
        <rFont val="Calibri"/>
        <family val="2"/>
        <scheme val="minor"/>
      </rPr>
      <t>=ISNA(A6)</t>
    </r>
  </si>
  <si>
    <r>
      <t xml:space="preserve">Formula in cell B7: </t>
    </r>
    <r>
      <rPr>
        <b/>
        <sz val="11"/>
        <color theme="1"/>
        <rFont val="Calibri"/>
        <family val="2"/>
        <scheme val="minor"/>
      </rPr>
      <t>=ISNA(A7)</t>
    </r>
  </si>
  <si>
    <r>
      <t xml:space="preserve">Formula in cell B8: </t>
    </r>
    <r>
      <rPr>
        <b/>
        <sz val="11"/>
        <color theme="1"/>
        <rFont val="Calibri"/>
        <family val="2"/>
        <scheme val="minor"/>
      </rPr>
      <t>=ISNA(A8)</t>
    </r>
  </si>
  <si>
    <r>
      <t xml:space="preserve">Formula in cell B9: </t>
    </r>
    <r>
      <rPr>
        <b/>
        <sz val="11"/>
        <color theme="1"/>
        <rFont val="Calibri"/>
        <family val="2"/>
        <scheme val="minor"/>
      </rPr>
      <t>=ISNA(A9)</t>
    </r>
  </si>
  <si>
    <r>
      <t xml:space="preserve">Formula in cell B10: </t>
    </r>
    <r>
      <rPr>
        <b/>
        <sz val="11"/>
        <color theme="1"/>
        <rFont val="Calibri"/>
        <family val="2"/>
        <scheme val="minor"/>
      </rPr>
      <t>=ISNA(A10)</t>
    </r>
  </si>
  <si>
    <t>Value To Check For #N/A Error</t>
  </si>
  <si>
    <t>Source Data</t>
  </si>
  <si>
    <t>Result- #N/A Error Check</t>
  </si>
  <si>
    <t>Phrase To Find</t>
  </si>
  <si>
    <t>You can totally do this.</t>
  </si>
  <si>
    <t>No pressure, no diamonds.</t>
  </si>
  <si>
    <t>When nothing goes right, go left/</t>
  </si>
  <si>
    <t>Try again. Fail again. Fail better.</t>
  </si>
  <si>
    <t>;</t>
  </si>
  <si>
    <t>p</t>
  </si>
  <si>
    <t>Quantity (Number Of Boxes)</t>
  </si>
  <si>
    <t>Grocery Items_Full List</t>
  </si>
  <si>
    <t>Pantry Refill</t>
  </si>
  <si>
    <t>Grocery Items- Not In Pantry Refill List</t>
  </si>
  <si>
    <t>ATL98450</t>
  </si>
  <si>
    <t>ATL98451</t>
  </si>
  <si>
    <t>ATL98452</t>
  </si>
  <si>
    <t>ATL98453</t>
  </si>
  <si>
    <t>ATL98454</t>
  </si>
  <si>
    <t>ATL98455</t>
  </si>
  <si>
    <t>ATL98456</t>
  </si>
  <si>
    <t>ATL98457</t>
  </si>
  <si>
    <t>ATL98458</t>
  </si>
  <si>
    <t>ATL98459</t>
  </si>
  <si>
    <t>ATL23876</t>
  </si>
  <si>
    <t>ATL38415</t>
  </si>
  <si>
    <t>ATL22973</t>
  </si>
  <si>
    <t>ATL42740</t>
  </si>
  <si>
    <t>ATL11349</t>
  </si>
  <si>
    <t>Employee Has A Car Parking Slot/Employee Does Not Have A Car Parking Slot</t>
  </si>
  <si>
    <t>Employee ID_Car Parking Slot</t>
  </si>
  <si>
    <t>Price In $</t>
  </si>
  <si>
    <t>Office Supplies</t>
  </si>
  <si>
    <t>Mesh Pencil Holder</t>
  </si>
  <si>
    <t>Ruled Index Cards</t>
  </si>
  <si>
    <t>Acrylic Letter Tray</t>
  </si>
  <si>
    <t>Modular Desktop Organizer Set</t>
  </si>
  <si>
    <t>Required Office Supplies</t>
  </si>
  <si>
    <t>Desk Calendar Gold</t>
  </si>
  <si>
    <t>l</t>
  </si>
  <si>
    <t>Initial Investment</t>
  </si>
  <si>
    <t>MIRR</t>
  </si>
  <si>
    <t>Period Description</t>
  </si>
  <si>
    <t>Amount In $</t>
  </si>
  <si>
    <t>Finance Rate In %</t>
  </si>
  <si>
    <t>Reinvestment Rate In %</t>
  </si>
  <si>
    <t>Initial investment for undertaking venture</t>
  </si>
  <si>
    <t>Year 1- Income</t>
  </si>
  <si>
    <t>Year 2- Income</t>
  </si>
  <si>
    <t>Year 3- Income</t>
  </si>
  <si>
    <t>Year 4- Income</t>
  </si>
  <si>
    <t>Year 5- Income</t>
  </si>
  <si>
    <t>MIRR in %</t>
  </si>
  <si>
    <t>MIRR() Output</t>
  </si>
  <si>
    <t>MIRR- Mathematical Expression Output</t>
  </si>
  <si>
    <t>Project A- Cash Flows In $</t>
  </si>
  <si>
    <t>Project B- Cash Flows In $</t>
  </si>
  <si>
    <t>1st Year Income</t>
  </si>
  <si>
    <t>2nd Year Income</t>
  </si>
  <si>
    <t>3rd Year Income</t>
  </si>
  <si>
    <t>4th Year Income</t>
  </si>
  <si>
    <t>5th Year Income</t>
  </si>
  <si>
    <t>6th Year Income</t>
  </si>
  <si>
    <t>MIRR After Two Years</t>
  </si>
  <si>
    <t>MIRR After Four Years</t>
  </si>
  <si>
    <t>MIRR After Three Years</t>
  </si>
  <si>
    <t>MIRR Value Using Excel VBA</t>
  </si>
  <si>
    <t>Period In Years</t>
  </si>
  <si>
    <t>Cash Flow In $</t>
  </si>
  <si>
    <t>Converted Number</t>
  </si>
  <si>
    <t>J</t>
  </si>
  <si>
    <t>Wh</t>
  </si>
  <si>
    <t>day</t>
  </si>
  <si>
    <t>mn</t>
  </si>
  <si>
    <t>F</t>
  </si>
  <si>
    <r>
      <t xml:space="preserve">Convert </t>
    </r>
    <r>
      <rPr>
        <b/>
        <sz val="11"/>
        <color theme="1"/>
        <rFont val="Calibri"/>
        <family val="2"/>
        <scheme val="minor"/>
      </rPr>
      <t>Joule</t>
    </r>
    <r>
      <rPr>
        <sz val="11"/>
        <color theme="1"/>
        <rFont val="Calibri"/>
        <family val="2"/>
        <scheme val="minor"/>
      </rPr>
      <t xml:space="preserve"> to </t>
    </r>
    <r>
      <rPr>
        <b/>
        <sz val="11"/>
        <color theme="1"/>
        <rFont val="Calibri"/>
        <family val="2"/>
        <scheme val="minor"/>
      </rPr>
      <t>Watt-hour</t>
    </r>
  </si>
  <si>
    <r>
      <t xml:space="preserve">Convert </t>
    </r>
    <r>
      <rPr>
        <b/>
        <sz val="11"/>
        <color theme="1"/>
        <rFont val="Calibri"/>
        <family val="2"/>
        <scheme val="minor"/>
      </rPr>
      <t>Day</t>
    </r>
    <r>
      <rPr>
        <sz val="11"/>
        <color theme="1"/>
        <rFont val="Calibri"/>
        <family val="2"/>
        <scheme val="minor"/>
      </rPr>
      <t xml:space="preserve"> to </t>
    </r>
    <r>
      <rPr>
        <b/>
        <sz val="11"/>
        <color theme="1"/>
        <rFont val="Calibri"/>
        <family val="2"/>
        <scheme val="minor"/>
      </rPr>
      <t>Minute</t>
    </r>
  </si>
  <si>
    <r>
      <t xml:space="preserve">Convert </t>
    </r>
    <r>
      <rPr>
        <b/>
        <sz val="11"/>
        <color theme="1"/>
        <rFont val="Calibri"/>
        <family val="2"/>
        <scheme val="minor"/>
      </rPr>
      <t>Degree Celsius</t>
    </r>
    <r>
      <rPr>
        <sz val="11"/>
        <color theme="1"/>
        <rFont val="Calibri"/>
        <family val="2"/>
        <scheme val="minor"/>
      </rPr>
      <t xml:space="preserve"> to </t>
    </r>
    <r>
      <rPr>
        <b/>
        <sz val="11"/>
        <color theme="1"/>
        <rFont val="Calibri"/>
        <family val="2"/>
        <scheme val="minor"/>
      </rPr>
      <t>Degree Fahrenheit</t>
    </r>
  </si>
  <si>
    <t>New Unit To Convert The Number Into</t>
  </si>
  <si>
    <r>
      <t xml:space="preserve">Formula in cell E2: </t>
    </r>
    <r>
      <rPr>
        <b/>
        <sz val="11"/>
        <color theme="1"/>
        <rFont val="Calibri"/>
        <family val="2"/>
        <scheme val="minor"/>
      </rPr>
      <t>=CONVERT(A2,B2,C2)</t>
    </r>
  </si>
  <si>
    <r>
      <t xml:space="preserve">Formula in cell E3: </t>
    </r>
    <r>
      <rPr>
        <b/>
        <sz val="11"/>
        <color theme="1"/>
        <rFont val="Calibri"/>
        <family val="2"/>
        <scheme val="minor"/>
      </rPr>
      <t>=CONVERT(A3,B3,C3)</t>
    </r>
  </si>
  <si>
    <r>
      <t xml:space="preserve">Formula in cell E4: </t>
    </r>
    <r>
      <rPr>
        <b/>
        <sz val="11"/>
        <color theme="1"/>
        <rFont val="Calibri"/>
        <family val="2"/>
        <scheme val="minor"/>
      </rPr>
      <t>=CONVERT(A4,B4,C4)</t>
    </r>
  </si>
  <si>
    <t>Weight and Mass</t>
  </si>
  <si>
    <t>Gram</t>
  </si>
  <si>
    <t>"g"</t>
  </si>
  <si>
    <t>Slug</t>
  </si>
  <si>
    <t>"sg"</t>
  </si>
  <si>
    <t>Pound mass (avoirdupois)</t>
  </si>
  <si>
    <t>"lbm"</t>
  </si>
  <si>
    <t>U (atomic mass unit)</t>
  </si>
  <si>
    <t>"u"</t>
  </si>
  <si>
    <t>Ounce mass (avoirdupois)</t>
  </si>
  <si>
    <t>"ozm"</t>
  </si>
  <si>
    <t>Grain</t>
  </si>
  <si>
    <t>"grain"</t>
  </si>
  <si>
    <t>U.S. (short) hundredweight</t>
  </si>
  <si>
    <t>"cwt" or "shweight"</t>
  </si>
  <si>
    <t>Imperial hundredweight</t>
  </si>
  <si>
    <t>"uk_cwt" or "lcwt" ("hweight")</t>
  </si>
  <si>
    <t>Stone</t>
  </si>
  <si>
    <t>"stone"</t>
  </si>
  <si>
    <t>Ton</t>
  </si>
  <si>
    <t>"ton"</t>
  </si>
  <si>
    <t>Imperial ton</t>
  </si>
  <si>
    <t>"uk_ton" or "LTON" ("brton")</t>
  </si>
  <si>
    <r>
      <t>from_unit</t>
    </r>
    <r>
      <rPr>
        <sz val="11"/>
        <color theme="0"/>
        <rFont val="Calibri"/>
        <family val="2"/>
        <scheme val="minor"/>
      </rPr>
      <t> </t>
    </r>
    <r>
      <rPr>
        <b/>
        <sz val="11"/>
        <color theme="0"/>
        <rFont val="Calibri"/>
        <family val="2"/>
        <scheme val="minor"/>
      </rPr>
      <t>or to_unit</t>
    </r>
  </si>
  <si>
    <t>Distance</t>
  </si>
  <si>
    <t>Meter</t>
  </si>
  <si>
    <t>"m"</t>
  </si>
  <si>
    <t>Statute mile</t>
  </si>
  <si>
    <t>"mi"</t>
  </si>
  <si>
    <t>Nautical mile</t>
  </si>
  <si>
    <t>"Nmi"</t>
  </si>
  <si>
    <t>Inch</t>
  </si>
  <si>
    <t>"in"</t>
  </si>
  <si>
    <t>Foot</t>
  </si>
  <si>
    <t>"ft"</t>
  </si>
  <si>
    <t>Yard</t>
  </si>
  <si>
    <t>"yd"</t>
  </si>
  <si>
    <t>Angstrom</t>
  </si>
  <si>
    <t>"ang"</t>
  </si>
  <si>
    <t>Ell</t>
  </si>
  <si>
    <t>"ell"</t>
  </si>
  <si>
    <t>Light-year</t>
  </si>
  <si>
    <t>"ly"</t>
  </si>
  <si>
    <t>Parsec</t>
  </si>
  <si>
    <t>"parsec" or "pc"</t>
  </si>
  <si>
    <t>Pica (1/72 inch)</t>
  </si>
  <si>
    <t>"Picapt" or "Pica"</t>
  </si>
  <si>
    <t>Pica (1/6 inch)</t>
  </si>
  <si>
    <t>"pica"</t>
  </si>
  <si>
    <t>U.S survey mile (statute mile)</t>
  </si>
  <si>
    <t>"survey_mi"</t>
  </si>
  <si>
    <t>"yr"</t>
  </si>
  <si>
    <t>"day" or "d"</t>
  </si>
  <si>
    <t>"hr"</t>
  </si>
  <si>
    <t>Minute</t>
  </si>
  <si>
    <t>"mn" or "min"</t>
  </si>
  <si>
    <t>"sec" or "s"</t>
  </si>
  <si>
    <t>Pressure</t>
  </si>
  <si>
    <t>Pascal</t>
  </si>
  <si>
    <t>"Pa" (or "p")</t>
  </si>
  <si>
    <t>Atmosphere</t>
  </si>
  <si>
    <t>"atm" (or "at")</t>
  </si>
  <si>
    <t>mm of Mercury</t>
  </si>
  <si>
    <t>"mmHg"</t>
  </si>
  <si>
    <t>PSI</t>
  </si>
  <si>
    <t>"psi"</t>
  </si>
  <si>
    <t>Torr</t>
  </si>
  <si>
    <t>"Torr"</t>
  </si>
  <si>
    <t>Force</t>
  </si>
  <si>
    <t>Newton</t>
  </si>
  <si>
    <t>"N"</t>
  </si>
  <si>
    <t>Dyne</t>
  </si>
  <si>
    <t>"dyn" (or "dy")</t>
  </si>
  <si>
    <t>Pound force</t>
  </si>
  <si>
    <t>"lbf"</t>
  </si>
  <si>
    <t>Pond</t>
  </si>
  <si>
    <t>"pond"</t>
  </si>
  <si>
    <t>Energy</t>
  </si>
  <si>
    <t>Joule</t>
  </si>
  <si>
    <t>"J"</t>
  </si>
  <si>
    <t>Erg</t>
  </si>
  <si>
    <t>"e"</t>
  </si>
  <si>
    <t>Thermodynamic calorie</t>
  </si>
  <si>
    <t>"c"</t>
  </si>
  <si>
    <t>IT calorie</t>
  </si>
  <si>
    <t>"cal"</t>
  </si>
  <si>
    <t>Electron volt</t>
  </si>
  <si>
    <t>"eV" (or "ev")</t>
  </si>
  <si>
    <t>Horsepower-hour</t>
  </si>
  <si>
    <t>"HPh" (or "hh")</t>
  </si>
  <si>
    <t>Watt-hour</t>
  </si>
  <si>
    <t>"Wh" (or "wh")</t>
  </si>
  <si>
    <t>Foot-pound</t>
  </si>
  <si>
    <t>"flb"</t>
  </si>
  <si>
    <t>BTU</t>
  </si>
  <si>
    <t>"BTU" (or "btu")</t>
  </si>
  <si>
    <t>Horsepower</t>
  </si>
  <si>
    <t>"HP" (or "h")</t>
  </si>
  <si>
    <t>Pferdestärke</t>
  </si>
  <si>
    <t>"PS"</t>
  </si>
  <si>
    <t>Watt</t>
  </si>
  <si>
    <t>"W" (or "w")</t>
  </si>
  <si>
    <t>Magnetism</t>
  </si>
  <si>
    <t>Tesla</t>
  </si>
  <si>
    <t>"T"</t>
  </si>
  <si>
    <t>Gauss</t>
  </si>
  <si>
    <t>"ga"</t>
  </si>
  <si>
    <t>Temperature</t>
  </si>
  <si>
    <t>Degree Celsius</t>
  </si>
  <si>
    <t>"C" (or "cel")</t>
  </si>
  <si>
    <t>Degree Fahrenheit</t>
  </si>
  <si>
    <t>"F" (or "fah")</t>
  </si>
  <si>
    <t>Kelvin</t>
  </si>
  <si>
    <t>"K" (or "kel")</t>
  </si>
  <si>
    <t>Degrees Rankine</t>
  </si>
  <si>
    <t>"Rank"</t>
  </si>
  <si>
    <t>Degrees Réaumur</t>
  </si>
  <si>
    <t>"Reau"</t>
  </si>
  <si>
    <t>Volume</t>
  </si>
  <si>
    <t>Volume (or Liquid Measure)</t>
  </si>
  <si>
    <t>Teaspoon</t>
  </si>
  <si>
    <t>"tsp"</t>
  </si>
  <si>
    <t>Modern teaspoon</t>
  </si>
  <si>
    <t>"tspm"</t>
  </si>
  <si>
    <t>Tablespoon</t>
  </si>
  <si>
    <t>"tbs"</t>
  </si>
  <si>
    <t>Fluid ounce</t>
  </si>
  <si>
    <t>"oz"</t>
  </si>
  <si>
    <t>Cup</t>
  </si>
  <si>
    <t>"cup"</t>
  </si>
  <si>
    <t>U.S. pint</t>
  </si>
  <si>
    <t>"pt" (or "us_pt")</t>
  </si>
  <si>
    <t>U.K. pint</t>
  </si>
  <si>
    <t>"uk_pt"</t>
  </si>
  <si>
    <t>Quart</t>
  </si>
  <si>
    <t>"qt"</t>
  </si>
  <si>
    <t>Imperial quart (U.K.)</t>
  </si>
  <si>
    <t>"uk_qt"</t>
  </si>
  <si>
    <t>Gallon</t>
  </si>
  <si>
    <t>"gal"</t>
  </si>
  <si>
    <t>Imperial gallon (U.K.)</t>
  </si>
  <si>
    <t>"uk_gal"</t>
  </si>
  <si>
    <t>Liter</t>
  </si>
  <si>
    <t>"l" or "L" ("lt")</t>
  </si>
  <si>
    <t>Cubic angstrom</t>
  </si>
  <si>
    <t>"ang3" or "ang^3"</t>
  </si>
  <si>
    <t>U.S. oil barrel</t>
  </si>
  <si>
    <t>"barrel"</t>
  </si>
  <si>
    <t>U.S. bushel</t>
  </si>
  <si>
    <t>"bushel"</t>
  </si>
  <si>
    <t>Cubic feet</t>
  </si>
  <si>
    <t>"ft3" or "ft^3"</t>
  </si>
  <si>
    <t>Cubic inch</t>
  </si>
  <si>
    <t>"in3" or "in^3"</t>
  </si>
  <si>
    <t>Cubic light-year</t>
  </si>
  <si>
    <t>"ly3" or "ly^3"</t>
  </si>
  <si>
    <t>Cubic meter</t>
  </si>
  <si>
    <t>"m3" or "m^3"</t>
  </si>
  <si>
    <t>Cubic Mile</t>
  </si>
  <si>
    <t>"mi3" or "mi^3"</t>
  </si>
  <si>
    <t>Cubic yard</t>
  </si>
  <si>
    <t>"yd3" or "yd^3"</t>
  </si>
  <si>
    <t>Cubic nautical mile</t>
  </si>
  <si>
    <t>"Nmi3" or "Nmi^3"</t>
  </si>
  <si>
    <t>Cubic Pica</t>
  </si>
  <si>
    <t>"Picapt3", "Picapt^3", "Pica3" or "Pica^3"</t>
  </si>
  <si>
    <t>Gross Registered Ton</t>
  </si>
  <si>
    <t>"GRT" ("regton")</t>
  </si>
  <si>
    <t>Measurement ton (freight ton)</t>
  </si>
  <si>
    <t>"MTON"</t>
  </si>
  <si>
    <t>Area</t>
  </si>
  <si>
    <t>International acre</t>
  </si>
  <si>
    <t>"uk_acre"</t>
  </si>
  <si>
    <t>U.S. survey/statute acre</t>
  </si>
  <si>
    <t>"us_acre"</t>
  </si>
  <si>
    <t>Square angstrom</t>
  </si>
  <si>
    <t>"ang2" or “ang^2"</t>
  </si>
  <si>
    <t>Are</t>
  </si>
  <si>
    <t>"ar"</t>
  </si>
  <si>
    <t>Square feet</t>
  </si>
  <si>
    <t>"ft2" or "ft^2"</t>
  </si>
  <si>
    <t>Hectare</t>
  </si>
  <si>
    <t>"ha"</t>
  </si>
  <si>
    <t>Square inches</t>
  </si>
  <si>
    <t>"in2" or "in^2"</t>
  </si>
  <si>
    <t>Square light-year</t>
  </si>
  <si>
    <t>"ly2" or "ly^2"</t>
  </si>
  <si>
    <t>Square meters</t>
  </si>
  <si>
    <t>"m2" or "m^2"</t>
  </si>
  <si>
    <t>Morgen</t>
  </si>
  <si>
    <t>"Morgen"</t>
  </si>
  <si>
    <t>Square miles</t>
  </si>
  <si>
    <t>"mi2" or "mi^2"</t>
  </si>
  <si>
    <t>Square nautical miles</t>
  </si>
  <si>
    <t>"Nmi2" or "Nmi^2"</t>
  </si>
  <si>
    <t>Square Pica</t>
  </si>
  <si>
    <t>"Picapt2", "Pica2", "Pica^2" or "Picapt^2"</t>
  </si>
  <si>
    <t>Square yards</t>
  </si>
  <si>
    <t>"yd2" or "yd^2"</t>
  </si>
  <si>
    <t>Information</t>
  </si>
  <si>
    <t>Bit</t>
  </si>
  <si>
    <t>"bit"</t>
  </si>
  <si>
    <t>Byte</t>
  </si>
  <si>
    <t>"byte"</t>
  </si>
  <si>
    <t>Speed</t>
  </si>
  <si>
    <t>Admiralty knot</t>
  </si>
  <si>
    <t>"admkn"</t>
  </si>
  <si>
    <t>Knot</t>
  </si>
  <si>
    <t>"kn"</t>
  </si>
  <si>
    <t>Meters per hour</t>
  </si>
  <si>
    <t>"m/h" or "m/hr"</t>
  </si>
  <si>
    <t>Meters per second</t>
  </si>
  <si>
    <t>"m/s" or "m/sec"</t>
  </si>
  <si>
    <t>Miles per hour</t>
  </si>
  <si>
    <t>"mph"</t>
  </si>
  <si>
    <t>Prefix</t>
  </si>
  <si>
    <t>Multiplier</t>
  </si>
  <si>
    <t>Abbreviation</t>
  </si>
  <si>
    <t>yotta</t>
  </si>
  <si>
    <t>"Y"</t>
  </si>
  <si>
    <t>zetta</t>
  </si>
  <si>
    <t>"Z"</t>
  </si>
  <si>
    <t>exa</t>
  </si>
  <si>
    <t>"E"</t>
  </si>
  <si>
    <t>peta</t>
  </si>
  <si>
    <t>"P"</t>
  </si>
  <si>
    <t>tera</t>
  </si>
  <si>
    <t>giga</t>
  </si>
  <si>
    <t>"G"</t>
  </si>
  <si>
    <t>mega</t>
  </si>
  <si>
    <t>"M"</t>
  </si>
  <si>
    <t>kilo</t>
  </si>
  <si>
    <t>"k"</t>
  </si>
  <si>
    <t>hecto</t>
  </si>
  <si>
    <t>"h"</t>
  </si>
  <si>
    <t>dekao</t>
  </si>
  <si>
    <t>"da" or "e"</t>
  </si>
  <si>
    <t>deci</t>
  </si>
  <si>
    <t>"d"</t>
  </si>
  <si>
    <t>centi</t>
  </si>
  <si>
    <t>milli</t>
  </si>
  <si>
    <t>micro</t>
  </si>
  <si>
    <t>nano</t>
  </si>
  <si>
    <t>"n"</t>
  </si>
  <si>
    <t>pico</t>
  </si>
  <si>
    <t>"p"</t>
  </si>
  <si>
    <t>femto</t>
  </si>
  <si>
    <t>"f"</t>
  </si>
  <si>
    <t>atto</t>
  </si>
  <si>
    <t>"a"</t>
  </si>
  <si>
    <t>zepto</t>
  </si>
  <si>
    <t>"z"</t>
  </si>
  <si>
    <t>yocto</t>
  </si>
  <si>
    <t>"y"</t>
  </si>
  <si>
    <t>Binary Prefix</t>
  </si>
  <si>
    <t>Prefix Value</t>
  </si>
  <si>
    <t>Derived from</t>
  </si>
  <si>
    <t>yobi</t>
  </si>
  <si>
    <t>2^80 = 1 208 925 819 614 629 174 706 176</t>
  </si>
  <si>
    <t>"Yi"</t>
  </si>
  <si>
    <t>zebi</t>
  </si>
  <si>
    <t>2^70 = 1 180 591 620 717 411 303 424</t>
  </si>
  <si>
    <t>"Zi"</t>
  </si>
  <si>
    <t>exbi</t>
  </si>
  <si>
    <t>2^60 = 1 152 921 504 606 846 976</t>
  </si>
  <si>
    <t>"Ei"</t>
  </si>
  <si>
    <t>pebi</t>
  </si>
  <si>
    <t>2^50 = 1 125 899 906 842 624</t>
  </si>
  <si>
    <t>"Pi"</t>
  </si>
  <si>
    <t>tebi</t>
  </si>
  <si>
    <t>2^40 = 1 099 511 627 776</t>
  </si>
  <si>
    <t>"Ti"</t>
  </si>
  <si>
    <t>gibi</t>
  </si>
  <si>
    <t>2^30 = 1 073 741 824</t>
  </si>
  <si>
    <t>"Gi"</t>
  </si>
  <si>
    <t>mebi</t>
  </si>
  <si>
    <t>2^20 = 1 048 576</t>
  </si>
  <si>
    <t>"Mi"</t>
  </si>
  <si>
    <t>kibi</t>
  </si>
  <si>
    <t>2^10 = 1024</t>
  </si>
  <si>
    <t>"ki"</t>
  </si>
  <si>
    <t>From_Unit</t>
  </si>
  <si>
    <t>To_Unit</t>
  </si>
  <si>
    <t>mi</t>
  </si>
  <si>
    <t>km</t>
  </si>
  <si>
    <t>N</t>
  </si>
  <si>
    <t>lbf</t>
  </si>
  <si>
    <t>HP</t>
  </si>
  <si>
    <t>W</t>
  </si>
  <si>
    <t>hat</t>
  </si>
  <si>
    <t>mph</t>
  </si>
  <si>
    <t>abc</t>
  </si>
  <si>
    <t>bit</t>
  </si>
  <si>
    <t>byte</t>
  </si>
  <si>
    <t>Ym</t>
  </si>
  <si>
    <r>
      <t xml:space="preserve">The value </t>
    </r>
    <r>
      <rPr>
        <b/>
        <sz val="11"/>
        <color theme="1"/>
        <rFont val="Calibri"/>
        <family val="2"/>
        <scheme val="minor"/>
      </rPr>
      <t>200 miles</t>
    </r>
    <r>
      <rPr>
        <sz val="11"/>
        <color theme="1"/>
        <rFont val="Calibri"/>
        <family val="2"/>
        <scheme val="minor"/>
      </rPr>
      <t xml:space="preserve"> gets converted to </t>
    </r>
    <r>
      <rPr>
        <b/>
        <sz val="11"/>
        <color theme="1"/>
        <rFont val="Calibri"/>
        <family val="2"/>
        <scheme val="minor"/>
      </rPr>
      <t>321.8688 kilometers</t>
    </r>
    <r>
      <rPr>
        <sz val="11"/>
        <color theme="1"/>
        <rFont val="Calibri"/>
        <family val="2"/>
        <scheme val="minor"/>
      </rPr>
      <t>.</t>
    </r>
  </si>
  <si>
    <r>
      <rPr>
        <b/>
        <sz val="11"/>
        <color theme="1"/>
        <rFont val="Calibri"/>
        <family val="2"/>
        <scheme val="minor"/>
      </rPr>
      <t>Error</t>
    </r>
    <r>
      <rPr>
        <sz val="11"/>
        <color theme="1"/>
        <rFont val="Calibri"/>
        <family val="2"/>
        <scheme val="minor"/>
      </rPr>
      <t>- The first argument is of incorrect data type.</t>
    </r>
  </si>
  <si>
    <r>
      <rPr>
        <b/>
        <sz val="11"/>
        <color theme="1"/>
        <rFont val="Calibri"/>
        <family val="2"/>
        <scheme val="minor"/>
      </rPr>
      <t>Error</t>
    </r>
    <r>
      <rPr>
        <sz val="11"/>
        <color theme="1"/>
        <rFont val="Calibri"/>
        <family val="2"/>
        <scheme val="minor"/>
      </rPr>
      <t>- The third argument is not entered as a text value in double quotes.</t>
    </r>
  </si>
  <si>
    <r>
      <rPr>
        <b/>
        <sz val="11"/>
        <color theme="1"/>
        <rFont val="Calibri"/>
        <family val="2"/>
        <scheme val="minor"/>
      </rPr>
      <t>Error</t>
    </r>
    <r>
      <rPr>
        <sz val="11"/>
        <color theme="1"/>
        <rFont val="Calibri"/>
        <family val="2"/>
        <scheme val="minor"/>
      </rPr>
      <t>- The unit provided as the third argument does not exist.</t>
    </r>
  </si>
  <si>
    <r>
      <rPr>
        <b/>
        <sz val="11"/>
        <color theme="1"/>
        <rFont val="Calibri"/>
        <family val="2"/>
        <scheme val="minor"/>
      </rPr>
      <t>Error</t>
    </r>
    <r>
      <rPr>
        <sz val="11"/>
        <color theme="1"/>
        <rFont val="Calibri"/>
        <family val="2"/>
        <scheme val="minor"/>
      </rPr>
      <t>- The two given units belong to different measurement systems.</t>
    </r>
  </si>
  <si>
    <r>
      <t xml:space="preserve">The value </t>
    </r>
    <r>
      <rPr>
        <b/>
        <sz val="11"/>
        <color theme="1"/>
        <rFont val="Calibri"/>
        <family val="2"/>
        <scheme val="minor"/>
      </rPr>
      <t>290 Newtons</t>
    </r>
    <r>
      <rPr>
        <sz val="11"/>
        <color theme="1"/>
        <rFont val="Calibri"/>
        <family val="2"/>
        <scheme val="minor"/>
      </rPr>
      <t xml:space="preserve"> gets converted to </t>
    </r>
    <r>
      <rPr>
        <b/>
        <sz val="11"/>
        <color theme="1"/>
        <rFont val="Calibri"/>
        <family val="2"/>
        <scheme val="minor"/>
      </rPr>
      <t>65.194593498916 Pounds force</t>
    </r>
    <r>
      <rPr>
        <sz val="11"/>
        <color theme="1"/>
        <rFont val="Calibri"/>
        <family val="2"/>
        <scheme val="minor"/>
      </rPr>
      <t>.</t>
    </r>
  </si>
  <si>
    <r>
      <t>The value</t>
    </r>
    <r>
      <rPr>
        <b/>
        <sz val="11"/>
        <color theme="1"/>
        <rFont val="Calibri"/>
        <family val="2"/>
        <scheme val="minor"/>
      </rPr>
      <t xml:space="preserve"> 1000 meters</t>
    </r>
    <r>
      <rPr>
        <sz val="11"/>
        <color theme="1"/>
        <rFont val="Calibri"/>
        <family val="2"/>
        <scheme val="minor"/>
      </rPr>
      <t xml:space="preserve"> gets converted to </t>
    </r>
    <r>
      <rPr>
        <b/>
        <sz val="11"/>
        <color theme="1"/>
        <rFont val="Calibri"/>
        <family val="2"/>
        <scheme val="minor"/>
      </rPr>
      <t>1E-21 yottameters</t>
    </r>
    <r>
      <rPr>
        <sz val="11"/>
        <color theme="1"/>
        <rFont val="Calibri"/>
        <family val="2"/>
        <scheme val="minor"/>
      </rPr>
      <t>.</t>
    </r>
  </si>
  <si>
    <t>Land Area- Square Miles</t>
  </si>
  <si>
    <t>Alaska</t>
  </si>
  <si>
    <t>Montana</t>
  </si>
  <si>
    <t>New Mexico</t>
  </si>
  <si>
    <t>Nevada</t>
  </si>
  <si>
    <t>Wyoming</t>
  </si>
  <si>
    <t>Oregon</t>
  </si>
  <si>
    <t>Car</t>
  </si>
  <si>
    <t>Car 1</t>
  </si>
  <si>
    <t>Car 2</t>
  </si>
  <si>
    <t>Car 3</t>
  </si>
  <si>
    <t>Car 4</t>
  </si>
  <si>
    <t>Car 5</t>
  </si>
  <si>
    <t>Speed in meter/second</t>
  </si>
  <si>
    <t>Time in hour</t>
  </si>
  <si>
    <t>Distance in miles</t>
  </si>
  <si>
    <t>Temperature in Degree Celsius</t>
  </si>
  <si>
    <t>Mali</t>
  </si>
  <si>
    <t>Burkina Faso</t>
  </si>
  <si>
    <t>Senegal </t>
  </si>
  <si>
    <t>Tuvalu </t>
  </si>
  <si>
    <t>Djibouti </t>
  </si>
  <si>
    <t>Mauritania </t>
  </si>
  <si>
    <t>Bahrain </t>
  </si>
  <si>
    <t>Palau </t>
  </si>
  <si>
    <t>Qatar </t>
  </si>
  <si>
    <t>Gambia </t>
  </si>
  <si>
    <t>Temperature in Degree Fahrenheit</t>
  </si>
  <si>
    <t>Pa</t>
  </si>
  <si>
    <t>psi</t>
  </si>
  <si>
    <r>
      <t xml:space="preserve">Convert the </t>
    </r>
    <r>
      <rPr>
        <b/>
        <sz val="11"/>
        <color theme="1"/>
        <rFont val="Calibri"/>
        <family val="2"/>
        <scheme val="minor"/>
      </rPr>
      <t>Horsepower</t>
    </r>
    <r>
      <rPr>
        <sz val="11"/>
        <color theme="1"/>
        <rFont val="Calibri"/>
        <family val="2"/>
        <scheme val="minor"/>
      </rPr>
      <t xml:space="preserve"> value to </t>
    </r>
    <r>
      <rPr>
        <b/>
        <sz val="11"/>
        <color theme="1"/>
        <rFont val="Calibri"/>
        <family val="2"/>
        <scheme val="minor"/>
      </rPr>
      <t>Watt</t>
    </r>
    <r>
      <rPr>
        <sz val="11"/>
        <color theme="1"/>
        <rFont val="Calibri"/>
        <family val="2"/>
        <scheme val="minor"/>
      </rPr>
      <t xml:space="preserve"> value.</t>
    </r>
  </si>
  <si>
    <t>T</t>
  </si>
  <si>
    <t>ga</t>
  </si>
  <si>
    <r>
      <t xml:space="preserve">Convert the </t>
    </r>
    <r>
      <rPr>
        <b/>
        <sz val="11"/>
        <color theme="1"/>
        <rFont val="Calibri"/>
        <family val="2"/>
        <scheme val="minor"/>
      </rPr>
      <t>PSI</t>
    </r>
    <r>
      <rPr>
        <sz val="11"/>
        <color theme="1"/>
        <rFont val="Calibri"/>
        <family val="2"/>
        <scheme val="minor"/>
      </rPr>
      <t xml:space="preserve"> value to </t>
    </r>
    <r>
      <rPr>
        <b/>
        <sz val="11"/>
        <color theme="1"/>
        <rFont val="Calibri"/>
        <family val="2"/>
        <scheme val="minor"/>
      </rPr>
      <t>Pascal</t>
    </r>
    <r>
      <rPr>
        <sz val="11"/>
        <color theme="1"/>
        <rFont val="Calibri"/>
        <family val="2"/>
        <scheme val="minor"/>
      </rPr>
      <t xml:space="preserve"> value.</t>
    </r>
  </si>
  <si>
    <r>
      <t xml:space="preserve">Convert the </t>
    </r>
    <r>
      <rPr>
        <b/>
        <sz val="11"/>
        <color theme="1"/>
        <rFont val="Calibri"/>
        <family val="2"/>
        <scheme val="minor"/>
      </rPr>
      <t>Tesla</t>
    </r>
    <r>
      <rPr>
        <sz val="11"/>
        <color theme="1"/>
        <rFont val="Calibri"/>
        <family val="2"/>
        <scheme val="minor"/>
      </rPr>
      <t xml:space="preserve"> value to </t>
    </r>
    <r>
      <rPr>
        <b/>
        <sz val="11"/>
        <color theme="1"/>
        <rFont val="Calibri"/>
        <family val="2"/>
        <scheme val="minor"/>
      </rPr>
      <t>Gauss</t>
    </r>
    <r>
      <rPr>
        <sz val="11"/>
        <color theme="1"/>
        <rFont val="Calibri"/>
        <family val="2"/>
        <scheme val="minor"/>
      </rPr>
      <t xml:space="preserve"> value.</t>
    </r>
  </si>
  <si>
    <t>Land Area- Square Meters</t>
  </si>
  <si>
    <t>=CONVERT(B11,"mi^2","m^2")</t>
  </si>
  <si>
    <t>=CONVERT(CONVERT(B11,"mi","m"),"mi","m")</t>
  </si>
  <si>
    <t>m3</t>
  </si>
  <si>
    <r>
      <t xml:space="preserve">The value </t>
    </r>
    <r>
      <rPr>
        <b/>
        <sz val="11"/>
        <color theme="1"/>
        <rFont val="Calibri"/>
        <family val="2"/>
        <scheme val="minor"/>
      </rPr>
      <t>100 liters</t>
    </r>
    <r>
      <rPr>
        <sz val="11"/>
        <color theme="1"/>
        <rFont val="Calibri"/>
        <family val="2"/>
        <scheme val="minor"/>
      </rPr>
      <t xml:space="preserve"> gets converted to </t>
    </r>
    <r>
      <rPr>
        <b/>
        <sz val="11"/>
        <color theme="1"/>
        <rFont val="Calibri"/>
        <family val="2"/>
        <scheme val="minor"/>
      </rPr>
      <t>0.1 cubic meters</t>
    </r>
    <r>
      <rPr>
        <sz val="11"/>
        <color theme="1"/>
        <rFont val="Calibri"/>
        <family val="2"/>
        <scheme val="minor"/>
      </rPr>
      <t>.</t>
    </r>
  </si>
  <si>
    <t>Text To Repeat</t>
  </si>
  <si>
    <t>Number Of Times To Repeat Text</t>
  </si>
  <si>
    <t>R</t>
  </si>
  <si>
    <t>Excel</t>
  </si>
  <si>
    <r>
      <t xml:space="preserve">Formula in cell C2: </t>
    </r>
    <r>
      <rPr>
        <b/>
        <sz val="11"/>
        <color theme="1"/>
        <rFont val="Calibri"/>
        <family val="2"/>
        <scheme val="minor"/>
      </rPr>
      <t>=REPT(A2,B2)</t>
    </r>
  </si>
  <si>
    <r>
      <t xml:space="preserve">Formula in cell C3: </t>
    </r>
    <r>
      <rPr>
        <b/>
        <sz val="11"/>
        <color theme="1"/>
        <rFont val="Calibri"/>
        <family val="2"/>
        <scheme val="minor"/>
      </rPr>
      <t>=REPT(A3,B3)</t>
    </r>
  </si>
  <si>
    <r>
      <t xml:space="preserve">Formula in cell C4: </t>
    </r>
    <r>
      <rPr>
        <b/>
        <sz val="11"/>
        <color theme="1"/>
        <rFont val="Calibri"/>
        <family val="2"/>
        <scheme val="minor"/>
      </rPr>
      <t>=REPT(A4,B4)</t>
    </r>
  </si>
  <si>
    <r>
      <t xml:space="preserve">Formula in cell C5: </t>
    </r>
    <r>
      <rPr>
        <b/>
        <sz val="11"/>
        <color theme="1"/>
        <rFont val="Calibri"/>
        <family val="2"/>
        <scheme val="minor"/>
      </rPr>
      <t>=REPT(A5,B5)</t>
    </r>
  </si>
  <si>
    <t>Number_Times</t>
  </si>
  <si>
    <t>Hello World!</t>
  </si>
  <si>
    <t>#$</t>
  </si>
  <si>
    <t>Rept</t>
  </si>
  <si>
    <t>(1_1)</t>
  </si>
  <si>
    <t>qwerty</t>
  </si>
  <si>
    <t>Customer Locker Number</t>
  </si>
  <si>
    <t>LB24872</t>
  </si>
  <si>
    <t>Locker Number- Confidential</t>
  </si>
  <si>
    <t>LB1328753</t>
  </si>
  <si>
    <t>LB44219836</t>
  </si>
  <si>
    <t>LB753524236</t>
  </si>
  <si>
    <t>LB984318</t>
  </si>
  <si>
    <t>LB1349</t>
  </si>
  <si>
    <t>Customer</t>
  </si>
  <si>
    <t>Margaret Richards</t>
  </si>
  <si>
    <t>Frankie Daniel</t>
  </si>
  <si>
    <t>Henry Berry</t>
  </si>
  <si>
    <t>Alexis Carlson</t>
  </si>
  <si>
    <t>Ron Bell</t>
  </si>
  <si>
    <t>Grady Garza</t>
  </si>
  <si>
    <t>Star Rating Out Of 5</t>
  </si>
  <si>
    <t>Result- In-cell Histogram</t>
  </si>
  <si>
    <t>Q2 Star Ratings</t>
  </si>
  <si>
    <t>Inventory</t>
  </si>
  <si>
    <t>Quantity in tons</t>
  </si>
  <si>
    <t>Tally Count (In Units Of 5)</t>
  </si>
  <si>
    <t>Settlement Date</t>
  </si>
  <si>
    <t>Maturity Date</t>
  </si>
  <si>
    <t>Percent Annual Coupon</t>
  </si>
  <si>
    <t>Percent Yield</t>
  </si>
  <si>
    <t>Redemption Value</t>
  </si>
  <si>
    <t>Frequency</t>
  </si>
  <si>
    <t>US (NASD) 30/360</t>
  </si>
  <si>
    <t>Parameter</t>
  </si>
  <si>
    <t>Bond Price Per $100 Face Value</t>
  </si>
  <si>
    <t>Bond Price in $</t>
  </si>
  <si>
    <t>Basis</t>
  </si>
  <si>
    <t>Actual/actual</t>
  </si>
  <si>
    <t>Actual/360</t>
  </si>
  <si>
    <t>Actual/365</t>
  </si>
  <si>
    <t>European 30/360</t>
  </si>
  <si>
    <t>Parameter Description</t>
  </si>
  <si>
    <t>settlement</t>
  </si>
  <si>
    <t>maturity</t>
  </si>
  <si>
    <t>redemption</t>
  </si>
  <si>
    <t>frequency</t>
  </si>
  <si>
    <t>yld</t>
  </si>
  <si>
    <t>basis</t>
  </si>
  <si>
    <t>PRICE() Argument</t>
  </si>
  <si>
    <t>Frequency (Semi-annual)</t>
  </si>
  <si>
    <t>PRICE() Argument Description</t>
  </si>
  <si>
    <t>Annual Coupon Rate</t>
  </si>
  <si>
    <t>Number Of Coupon Payments- Semi-annual</t>
  </si>
  <si>
    <t>Corporate Bond Price in $</t>
  </si>
  <si>
    <t>Number Of Coupon Payments- Quarterly</t>
  </si>
  <si>
    <t>Fixed-income Security Price in $</t>
  </si>
  <si>
    <t>Number Of Coupon Payments- Semi-annually</t>
  </si>
  <si>
    <t>Frequency- Annual</t>
  </si>
  <si>
    <t>Basis- US (NASD) 30/360</t>
  </si>
  <si>
    <t>Day Count Basis Type- US (NASD) 30/360</t>
  </si>
  <si>
    <t>Day Count Basis Type</t>
  </si>
  <si>
    <t>Coupon Payment Frequency</t>
  </si>
  <si>
    <t>Known_ys</t>
  </si>
  <si>
    <t>Units in tons</t>
  </si>
  <si>
    <t>Predicted Units In 7th Month</t>
  </si>
  <si>
    <t>Total Orders Dispatched</t>
  </si>
  <si>
    <t>Predicted Exponential Growth In Units In 6 Months</t>
  </si>
  <si>
    <t>Distance Covered in miles</t>
  </si>
  <si>
    <t>Time in hours</t>
  </si>
  <si>
    <t>y=b*m^x</t>
  </si>
  <si>
    <t>Given Relationship Between x And y values</t>
  </si>
  <si>
    <t>Determining y-values Using Cell B2 Formula</t>
  </si>
  <si>
    <t>Determining New y-values For New x-values Using Cell B2 Formula</t>
  </si>
  <si>
    <t>Determining New y-values For New x-values Using Known x- And y-values In GROWTH()</t>
  </si>
  <si>
    <t>Known_xs</t>
  </si>
  <si>
    <t>New_xs</t>
  </si>
  <si>
    <t>New_ys</t>
  </si>
  <si>
    <t>X Values</t>
  </si>
  <si>
    <t>Y Values</t>
  </si>
  <si>
    <t xml:space="preserve">Quantity in pounds </t>
  </si>
  <si>
    <t>Quantity &gt; 0 pound</t>
  </si>
  <si>
    <t>&gt;0</t>
  </si>
  <si>
    <t>Coconut Oil</t>
  </si>
  <si>
    <t>Olive Oil</t>
  </si>
  <si>
    <t>Sunflower Oil</t>
  </si>
  <si>
    <t>Sesame Oil</t>
  </si>
  <si>
    <t>Soybean Oil</t>
  </si>
  <si>
    <t>Whole Purpose Flour</t>
  </si>
  <si>
    <t>Green Lentils</t>
  </si>
  <si>
    <t>Brown Lentils</t>
  </si>
  <si>
    <t>Red Lentils</t>
  </si>
  <si>
    <t>Number Of Boxes</t>
  </si>
  <si>
    <t>Inventory Item</t>
  </si>
  <si>
    <t>*oil*</t>
  </si>
  <si>
    <t>Average Number Of Boxes Based On Given Criterion</t>
  </si>
  <si>
    <t>All Oil Varieties</t>
  </si>
  <si>
    <t>Scholarship</t>
  </si>
  <si>
    <t>Elizabeth Pope</t>
  </si>
  <si>
    <t>Rosa Logan</t>
  </si>
  <si>
    <t>Marsha Webb</t>
  </si>
  <si>
    <t>Elsie Mcgee</t>
  </si>
  <si>
    <t>Dan Rice</t>
  </si>
  <si>
    <t>Peter Alvarez</t>
  </si>
  <si>
    <t>Vera Watson</t>
  </si>
  <si>
    <t>Fred Wagner</t>
  </si>
  <si>
    <t>Dawn Padilla</t>
  </si>
  <si>
    <t>Pearl Newman</t>
  </si>
  <si>
    <t>Total Score Out Of 500</t>
  </si>
  <si>
    <t>Time in seconds</t>
  </si>
  <si>
    <t>Jeremy Collier</t>
  </si>
  <si>
    <t>Henry Woods</t>
  </si>
  <si>
    <t>Alton Dawson</t>
  </si>
  <si>
    <t>Isaac Hawkins</t>
  </si>
  <si>
    <t>Bernard Leonard</t>
  </si>
  <si>
    <t>Wm Klein</t>
  </si>
  <si>
    <t>Robert Phillips</t>
  </si>
  <si>
    <t>Darryl Moran</t>
  </si>
  <si>
    <t>Randal Farmer</t>
  </si>
  <si>
    <t>Elmer Ford</t>
  </si>
  <si>
    <t>Otis Dixon</t>
  </si>
  <si>
    <t>Brandon Wood</t>
  </si>
  <si>
    <t>Caleb Ortega</t>
  </si>
  <si>
    <t>Drew Lane</t>
  </si>
  <si>
    <t>Willie Gonzalez</t>
  </si>
  <si>
    <t>AZ</t>
  </si>
  <si>
    <t>DC</t>
  </si>
  <si>
    <t>FL</t>
  </si>
  <si>
    <t>GA</t>
  </si>
  <si>
    <t>LA</t>
  </si>
  <si>
    <t>OH</t>
  </si>
  <si>
    <t>Average Quantity In pounds Based On Given Criterion</t>
  </si>
  <si>
    <t>Average Total Score Out Of 500 Based On Given Criterion</t>
  </si>
  <si>
    <t>Average Time In seconds Based On Given Criterion</t>
  </si>
  <si>
    <t>Participant</t>
  </si>
  <si>
    <t>Dispatch Date</t>
  </si>
  <si>
    <t>Units Dispatched</t>
  </si>
  <si>
    <t>Dispatch Date After 4/1/2022</t>
  </si>
  <si>
    <t>&gt;4/1/2022</t>
  </si>
  <si>
    <t>Average Units Dispatched Based On Given Criterion</t>
  </si>
  <si>
    <t>Contribution in $</t>
  </si>
  <si>
    <t>Ira Patterson</t>
  </si>
  <si>
    <t>Dora Andrews</t>
  </si>
  <si>
    <t>Iris Morton</t>
  </si>
  <si>
    <t>Byron Reed</t>
  </si>
  <si>
    <t>Ray Oliver</t>
  </si>
  <si>
    <t>Mario Ruiz</t>
  </si>
  <si>
    <t>Terrance Burns</t>
  </si>
  <si>
    <t>Sheryl Neal</t>
  </si>
  <si>
    <t>Luther Jones</t>
  </si>
  <si>
    <t>Nathaniel Hernandez</t>
  </si>
  <si>
    <t>Cut-off Age</t>
  </si>
  <si>
    <t>Average Contribution in $ Based On Given Criterion</t>
  </si>
  <si>
    <t>Average Household Income in $ Based On Given Criterion</t>
  </si>
  <si>
    <t>Loan Payment Periods Calculation</t>
  </si>
  <si>
    <t>Yearly Payment in $</t>
  </si>
  <si>
    <t>Number Of Periods in years</t>
  </si>
  <si>
    <t>Periodic Rate</t>
  </si>
  <si>
    <t>Monthly Payment</t>
  </si>
  <si>
    <t>Quarterly Payment</t>
  </si>
  <si>
    <t>Installment</t>
  </si>
  <si>
    <t>Semi-annual Payment</t>
  </si>
  <si>
    <t>NPER() Calculation</t>
  </si>
  <si>
    <t>NPER() Argument</t>
  </si>
  <si>
    <t>Present Value in $</t>
  </si>
  <si>
    <t>Type</t>
  </si>
  <si>
    <t>pmt</t>
  </si>
  <si>
    <t>Number Of Payment Periods in months</t>
  </si>
  <si>
    <t>Payment Each Period in $ (monthly)</t>
  </si>
  <si>
    <t>Monthly Payment in $</t>
  </si>
  <si>
    <t>NPER() Calculation: Universal Formula</t>
  </si>
  <si>
    <t>Periodic Payment in $</t>
  </si>
  <si>
    <t>Initial Investment in $</t>
  </si>
  <si>
    <t>Payment Periods Per Year</t>
  </si>
  <si>
    <t>Payment at the end of the period.</t>
  </si>
  <si>
    <t>Payment at the start of the period.</t>
  </si>
  <si>
    <t>Quarterly Payment in $</t>
  </si>
  <si>
    <t>Number Of Periods in quarters</t>
  </si>
  <si>
    <t>Matrix Multiplication</t>
  </si>
  <si>
    <t>Array 1</t>
  </si>
  <si>
    <t>Array 2</t>
  </si>
  <si>
    <t>Resulting Array: Product Of Array 1 and Array 2</t>
  </si>
  <si>
    <t>MMULT()</t>
  </si>
  <si>
    <t>MMULT() Output: Product Of Array 1 and Array 2</t>
  </si>
  <si>
    <t>Array a</t>
  </si>
  <si>
    <t>Array b</t>
  </si>
  <si>
    <t>Array c</t>
  </si>
  <si>
    <t>Mathematical Evaluation: Matrix Product Array c</t>
  </si>
  <si>
    <t>Matrix Product Array c Calculation</t>
  </si>
  <si>
    <t>Total Price in $</t>
  </si>
  <si>
    <t>Weight in ounces</t>
  </si>
  <si>
    <t>Total Weight in ounces</t>
  </si>
  <si>
    <t>Baseball Ball</t>
  </si>
  <si>
    <t>Tennis Ball</t>
  </si>
  <si>
    <t>Ball Type</t>
  </si>
  <si>
    <t>Quantity- Baseball Ball</t>
  </si>
  <si>
    <t>Quantity- Tennis Ball</t>
  </si>
  <si>
    <t>Quantity- Soccer Ball</t>
  </si>
  <si>
    <t>Soccer Ball</t>
  </si>
  <si>
    <t>Matrix Product Output</t>
  </si>
  <si>
    <t>Array A</t>
  </si>
  <si>
    <t>Array B</t>
  </si>
  <si>
    <t>Array C</t>
  </si>
  <si>
    <t>Number Of Rows Containing Value 20</t>
  </si>
  <si>
    <t>Array D</t>
  </si>
  <si>
    <t>Array 3: Matrix Product of Array 1 and Array 2</t>
  </si>
  <si>
    <t>3x1 Matrix And 1x3 Matrix Multiplication</t>
  </si>
  <si>
    <t>Yield On Security</t>
  </si>
  <si>
    <t>Security's Price Per $100 Face Value</t>
  </si>
  <si>
    <t>Security's Redemption Value Per $100 Face Value</t>
  </si>
  <si>
    <t>Number Of Coupon Payments Per Year- Annual</t>
  </si>
  <si>
    <t>Yield in %</t>
  </si>
  <si>
    <t>Annually</t>
  </si>
  <si>
    <t>Semi-annually</t>
  </si>
  <si>
    <t>Yield Of A Security</t>
  </si>
  <si>
    <t>YIELD() Argument</t>
  </si>
  <si>
    <t>pr</t>
  </si>
  <si>
    <t>Number Of Coupon Payments Per Year- Semi-annual</t>
  </si>
  <si>
    <t>Yield Of A 10-year Bond</t>
  </si>
  <si>
    <t>Current Market Price Per $100 Face Value</t>
  </si>
  <si>
    <t>Redemption Value Per $100 Face Value</t>
  </si>
  <si>
    <t>Number Of Coupon Payments Per Year- Quarterly</t>
  </si>
  <si>
    <t>Day Count Basis Type- Actual/actual</t>
  </si>
  <si>
    <t>Opening Value</t>
  </si>
  <si>
    <t>High Value</t>
  </si>
  <si>
    <t>Low Value</t>
  </si>
  <si>
    <t>Closing Value</t>
  </si>
  <si>
    <t>Stock Prices in million USD</t>
  </si>
  <si>
    <t>Plot Interpretation</t>
  </si>
  <si>
    <t>High Temperature</t>
  </si>
  <si>
    <t>Low Temperature</t>
  </si>
  <si>
    <t>Average Temperature</t>
  </si>
  <si>
    <t>Daily Temperature in °C</t>
  </si>
  <si>
    <r>
      <t xml:space="preserve">Formula in cell E2: </t>
    </r>
    <r>
      <rPr>
        <b/>
        <sz val="11"/>
        <color theme="1"/>
        <rFont val="Calibri"/>
        <family val="2"/>
        <scheme val="minor"/>
      </rPr>
      <t>=LOOKUP(D2,A1:A6,B1:B6)</t>
    </r>
  </si>
  <si>
    <r>
      <t xml:space="preserve">Formula in cell E3: </t>
    </r>
    <r>
      <rPr>
        <b/>
        <sz val="11"/>
        <color theme="1"/>
        <rFont val="Calibri"/>
        <family val="2"/>
        <scheme val="minor"/>
      </rPr>
      <t>=LOOKUP(D3,A1:A6,B1:B6)</t>
    </r>
  </si>
  <si>
    <r>
      <t xml:space="preserve">Formula in cell E4: </t>
    </r>
    <r>
      <rPr>
        <b/>
        <sz val="11"/>
        <color theme="1"/>
        <rFont val="Calibri"/>
        <family val="2"/>
        <scheme val="minor"/>
      </rPr>
      <t>=LOOKUP(D4,A1:B6)</t>
    </r>
  </si>
  <si>
    <t>APP_111</t>
  </si>
  <si>
    <t>APP_112</t>
  </si>
  <si>
    <t>APP_113</t>
  </si>
  <si>
    <t>APP_114</t>
  </si>
  <si>
    <t>APP_115</t>
  </si>
  <si>
    <t>APP_116</t>
  </si>
  <si>
    <t>APP_117</t>
  </si>
  <si>
    <t>APP_118</t>
  </si>
  <si>
    <t>APP_119</t>
  </si>
  <si>
    <t>APP_120</t>
  </si>
  <si>
    <t>Workstation_ID</t>
  </si>
  <si>
    <t>Kelvin Bryant</t>
  </si>
  <si>
    <t>Raquel Allen</t>
  </si>
  <si>
    <t>Lucille Sanders</t>
  </si>
  <si>
    <t>Ignacio Walters</t>
  </si>
  <si>
    <t>Kari Castro</t>
  </si>
  <si>
    <t>Ginger Blake</t>
  </si>
  <si>
    <t>Tony Phillips</t>
  </si>
  <si>
    <t>Pedro Gray</t>
  </si>
  <si>
    <t>Grace Gomez</t>
  </si>
  <si>
    <t>Rene Diaz</t>
  </si>
  <si>
    <t>Order Status</t>
  </si>
  <si>
    <t>Last Order Information</t>
  </si>
  <si>
    <t>Required Information</t>
  </si>
  <si>
    <t>Samsung Galaxy S21 5G</t>
  </si>
  <si>
    <t>Order Dispatched</t>
  </si>
  <si>
    <t>Order Yet To Be Dispatched</t>
  </si>
  <si>
    <t>Qualifying Points</t>
  </si>
  <si>
    <t>Secured Points</t>
  </si>
  <si>
    <t>Secured Grade</t>
  </si>
  <si>
    <t>UP</t>
  </si>
  <si>
    <t>ME</t>
  </si>
  <si>
    <t>EE</t>
  </si>
  <si>
    <t>EP</t>
  </si>
  <si>
    <t>Patty Underwood</t>
  </si>
  <si>
    <t>Warren Dean</t>
  </si>
  <si>
    <t>Percy Cummings</t>
  </si>
  <si>
    <t>Benjamin Todd</t>
  </si>
  <si>
    <t>Matthew Murphy</t>
  </si>
  <si>
    <t>Sheri Alvarez</t>
  </si>
  <si>
    <t>Dominic Patton</t>
  </si>
  <si>
    <t>Gertrude Paul</t>
  </si>
  <si>
    <t>Bernadette Caldwell</t>
  </si>
  <si>
    <t>Miriam Craig</t>
  </si>
  <si>
    <t>Senior Specialist</t>
  </si>
  <si>
    <t>Quarter</t>
  </si>
  <si>
    <t>Q1_2021</t>
  </si>
  <si>
    <t>Q2_2021</t>
  </si>
  <si>
    <t>Q3_2021</t>
  </si>
  <si>
    <t>Q4_2021</t>
  </si>
  <si>
    <t>Q1_2020</t>
  </si>
  <si>
    <t>Q2_2020</t>
  </si>
  <si>
    <t>Q3_2020</t>
  </si>
  <si>
    <t>Q4_2020</t>
  </si>
  <si>
    <t>Sales in USD</t>
  </si>
  <si>
    <t>Chicago</t>
  </si>
  <si>
    <t>2021 Quarterly Sales in USD</t>
  </si>
  <si>
    <t>Q1</t>
  </si>
  <si>
    <t>Q2</t>
  </si>
  <si>
    <t>Q3</t>
  </si>
  <si>
    <t>Q4</t>
  </si>
  <si>
    <t>Region</t>
  </si>
  <si>
    <t>North</t>
  </si>
  <si>
    <t>East</t>
  </si>
  <si>
    <t>South</t>
  </si>
  <si>
    <t>West</t>
  </si>
  <si>
    <t>Profits in USD</t>
  </si>
  <si>
    <t>Number Of Cartons Delivered</t>
  </si>
  <si>
    <t>Term</t>
  </si>
  <si>
    <t>Term 1</t>
  </si>
  <si>
    <t>John</t>
  </si>
  <si>
    <t>James</t>
  </si>
  <si>
    <t>Term 2</t>
  </si>
  <si>
    <t>Term 3</t>
  </si>
  <si>
    <t>Term 4</t>
  </si>
  <si>
    <t>Marks (Out Of 100)</t>
  </si>
  <si>
    <t>WH1</t>
  </si>
  <si>
    <t>WH2</t>
  </si>
  <si>
    <t>WH3</t>
  </si>
  <si>
    <t>Inventory (in units)</t>
  </si>
  <si>
    <t>Project Initiation Call</t>
  </si>
  <si>
    <t>Phase 1 Outcome Handover</t>
  </si>
  <si>
    <t>Project Conclusion</t>
  </si>
  <si>
    <t>Project Closure</t>
  </si>
  <si>
    <t>Phase 1 Implementation</t>
  </si>
  <si>
    <t>Phase 2 Implementation</t>
  </si>
  <si>
    <t>Phase 2 Outcome Handover</t>
  </si>
  <si>
    <t>Project Milestone</t>
  </si>
  <si>
    <t>Data Collection</t>
  </si>
  <si>
    <t>Text Placement</t>
  </si>
  <si>
    <t>Milestone</t>
  </si>
  <si>
    <t>Estimated Deadline</t>
  </si>
  <si>
    <t>MS1</t>
  </si>
  <si>
    <t>MS2</t>
  </si>
  <si>
    <t>MS3</t>
  </si>
  <si>
    <t>MS4</t>
  </si>
  <si>
    <t>MS5</t>
  </si>
  <si>
    <t>MS6</t>
  </si>
  <si>
    <t>Helper</t>
  </si>
  <si>
    <t>Lead Generation</t>
  </si>
  <si>
    <t>Lead Selection</t>
  </si>
  <si>
    <t>Business Scope Review</t>
  </si>
  <si>
    <t>Product Development</t>
  </si>
  <si>
    <t>End Of Development</t>
  </si>
  <si>
    <t>Product Testing</t>
  </si>
  <si>
    <t>Product Launch</t>
  </si>
  <si>
    <t>Deadline</t>
  </si>
  <si>
    <t>Project Phases</t>
  </si>
  <si>
    <t>Phase</t>
  </si>
  <si>
    <t>Estimated Hours</t>
  </si>
  <si>
    <t>Hours Spent</t>
  </si>
  <si>
    <t>Progress in %</t>
  </si>
  <si>
    <t>WK1</t>
  </si>
  <si>
    <t>WK2</t>
  </si>
  <si>
    <t>WK3</t>
  </si>
  <si>
    <t>WK4</t>
  </si>
  <si>
    <t>WK5</t>
  </si>
  <si>
    <t>WK6</t>
  </si>
  <si>
    <t>Planning</t>
  </si>
  <si>
    <t>Testing</t>
  </si>
  <si>
    <t>Optimization</t>
  </si>
  <si>
    <t>Review</t>
  </si>
  <si>
    <t>Development</t>
  </si>
  <si>
    <t>Estimate Time</t>
  </si>
  <si>
    <t>Line Equation: y = m * x +  c</t>
  </si>
  <si>
    <t>Slope</t>
  </si>
  <si>
    <t>X-coordinate</t>
  </si>
  <si>
    <t>x</t>
  </si>
  <si>
    <t>Intercept</t>
  </si>
  <si>
    <t>Y-coordinate</t>
  </si>
  <si>
    <t>Two-variable Data Table</t>
  </si>
  <si>
    <t>x-coordinates</t>
  </si>
  <si>
    <t>m-values</t>
  </si>
  <si>
    <t>Calculated y-coordinates</t>
  </si>
  <si>
    <t>y = m * x + c</t>
  </si>
  <si>
    <t>Compound Interest</t>
  </si>
  <si>
    <t>Compounding Periods Per Year</t>
  </si>
  <si>
    <t>Balance in $</t>
  </si>
  <si>
    <t>Investment</t>
  </si>
  <si>
    <t>Interest Rate in %</t>
  </si>
  <si>
    <t>Number Of Monthly Payments</t>
  </si>
  <si>
    <t>Two-variable Data Table: Monthly Payment</t>
  </si>
  <si>
    <t>Parameters</t>
  </si>
  <si>
    <t>Dummy Values</t>
  </si>
  <si>
    <t>Dummy Value</t>
  </si>
  <si>
    <t>Two-variable Data Table: Compound Interest</t>
  </si>
  <si>
    <t>Future Value Computation</t>
  </si>
  <si>
    <t>Payment Made Each Year in $</t>
  </si>
  <si>
    <t>Total Number Of Payment Periods In An Annuity</t>
  </si>
  <si>
    <t>Annual Interest Rate Per Period in %</t>
  </si>
  <si>
    <t>Payment Terms In Years</t>
  </si>
  <si>
    <t>Payment Term In Years</t>
  </si>
  <si>
    <t>Two-variable Data Table: Future Value Computation</t>
  </si>
  <si>
    <t>Sales Projection For 2021</t>
  </si>
  <si>
    <t>Sales 2020</t>
  </si>
  <si>
    <t>Growth 2021</t>
  </si>
  <si>
    <t>Expenses 2021</t>
  </si>
  <si>
    <t>Projected Sales 2021</t>
  </si>
  <si>
    <t>Two-variable Data Table: Projected Sales-2021</t>
  </si>
  <si>
    <t>Rectangle Dimensions</t>
  </si>
  <si>
    <t>Dimension</t>
  </si>
  <si>
    <t>Length</t>
  </si>
  <si>
    <t>Breadth</t>
  </si>
  <si>
    <t>Height</t>
  </si>
  <si>
    <t>Value in meter</t>
  </si>
  <si>
    <t>(Current)</t>
  </si>
  <si>
    <t>Length in meter</t>
  </si>
  <si>
    <r>
      <t>Rectangle Volume in m</t>
    </r>
    <r>
      <rPr>
        <vertAlign val="superscript"/>
        <sz val="11"/>
        <color theme="1"/>
        <rFont val="Calibri"/>
        <family val="2"/>
        <scheme val="minor"/>
      </rPr>
      <t>3</t>
    </r>
  </si>
  <si>
    <r>
      <t>Rectangle Volume in m</t>
    </r>
    <r>
      <rPr>
        <b/>
        <vertAlign val="superscript"/>
        <sz val="11"/>
        <color theme="0"/>
        <rFont val="Calibri"/>
        <family val="2"/>
        <scheme val="minor"/>
      </rPr>
      <t>3</t>
    </r>
  </si>
  <si>
    <t>One Variable Data Table</t>
  </si>
  <si>
    <r>
      <t xml:space="preserve">Formula in cell E3: </t>
    </r>
    <r>
      <rPr>
        <b/>
        <sz val="11"/>
        <color theme="1"/>
        <rFont val="Calibri"/>
        <family val="2"/>
        <scheme val="minor"/>
      </rPr>
      <t>=B7</t>
    </r>
  </si>
  <si>
    <r>
      <t xml:space="preserve">Formula in cells E4:E7: </t>
    </r>
    <r>
      <rPr>
        <b/>
        <sz val="11"/>
        <color theme="1"/>
        <rFont val="Calibri"/>
        <family val="2"/>
        <scheme val="minor"/>
      </rPr>
      <t>{=TABLE(,B3)}</t>
    </r>
  </si>
  <si>
    <t>Compound Interest Computation</t>
  </si>
  <si>
    <t>One Variable Data Table: Compound Interest Computation</t>
  </si>
  <si>
    <t>Purchase Price in $</t>
  </si>
  <si>
    <t>Down Payment Rate in %</t>
  </si>
  <si>
    <t>Loan Term</t>
  </si>
  <si>
    <t>Output Data</t>
  </si>
  <si>
    <t>Total Interest in $</t>
  </si>
  <si>
    <t>Interest Rate (Months) in %</t>
  </si>
  <si>
    <t>Loan Payment Computation</t>
  </si>
  <si>
    <t>One Variable Data Table: Loan Payment Computation</t>
  </si>
  <si>
    <t>Total Payment in $</t>
  </si>
  <si>
    <t>Monthly EMI Computation</t>
  </si>
  <si>
    <t>Payment Years</t>
  </si>
  <si>
    <t>Months Per Year</t>
  </si>
  <si>
    <t>Monthly EMI in $</t>
  </si>
  <si>
    <t>One Variable Data Table: Monthly EMI Computation</t>
  </si>
  <si>
    <t>Line Equation: y = m * x + c</t>
  </si>
  <si>
    <t>X- coordinate</t>
  </si>
  <si>
    <t>Y- coordinate</t>
  </si>
  <si>
    <t>One Variable Data Table: Line Equation</t>
  </si>
  <si>
    <t>Product Sales Pipeline</t>
  </si>
  <si>
    <t>Stage</t>
  </si>
  <si>
    <t>Amount</t>
  </si>
  <si>
    <t>Prospects</t>
  </si>
  <si>
    <t>Qualified Prospects</t>
  </si>
  <si>
    <t>Need Analysis</t>
  </si>
  <si>
    <t>Closed Deals</t>
  </si>
  <si>
    <t>Price Quotations</t>
  </si>
  <si>
    <t>Negotiations</t>
  </si>
  <si>
    <t>Email Conversion Rate</t>
  </si>
  <si>
    <t>Received Emails</t>
  </si>
  <si>
    <t>Opened Emails</t>
  </si>
  <si>
    <t>Visited Product Website</t>
  </si>
  <si>
    <t>Placed Products In Cart</t>
  </si>
  <si>
    <t>Purchase Complete</t>
  </si>
  <si>
    <t>Dummy Data</t>
  </si>
  <si>
    <t>Users</t>
  </si>
  <si>
    <t>Sales Funnel</t>
  </si>
  <si>
    <t>Opportunity Identified</t>
  </si>
  <si>
    <t>Opportunity Validated</t>
  </si>
  <si>
    <t>Opportunity Qualified</t>
  </si>
  <si>
    <t>Proposal</t>
  </si>
  <si>
    <t>Won</t>
  </si>
  <si>
    <t>Clients Contacted</t>
  </si>
  <si>
    <t>Qualification</t>
  </si>
  <si>
    <t>Clients Met</t>
  </si>
  <si>
    <t>Deal Closed</t>
  </si>
  <si>
    <t>Customer %</t>
  </si>
  <si>
    <t>Pipeline Sales Funnel</t>
  </si>
  <si>
    <t>Deal Value in USD</t>
  </si>
  <si>
    <t>Number Of Customers</t>
  </si>
  <si>
    <t>Clients Contacted- 100%</t>
  </si>
  <si>
    <t>Qualification- 75%</t>
  </si>
  <si>
    <t>Clients Met- 50%</t>
  </si>
  <si>
    <t>Proposal- 35%</t>
  </si>
  <si>
    <t>Deal Closed- 20%</t>
  </si>
  <si>
    <t>Stage With Customer %</t>
  </si>
  <si>
    <t>Space</t>
  </si>
  <si>
    <t>Value in USD</t>
  </si>
  <si>
    <t>Leads Identification</t>
  </si>
  <si>
    <t>Tender Submission</t>
  </si>
  <si>
    <t>First Interactions</t>
  </si>
  <si>
    <t>Tender Won</t>
  </si>
  <si>
    <t>Tender Intiated</t>
  </si>
  <si>
    <t>Tender Complete</t>
  </si>
  <si>
    <t>Sales Funnel Chart</t>
  </si>
  <si>
    <t>In-cell Chart</t>
  </si>
  <si>
    <t>Billie Boyd</t>
  </si>
  <si>
    <t>Della Schultz</t>
  </si>
  <si>
    <t>Joanna Manning</t>
  </si>
  <si>
    <t>Claudia Patterson</t>
  </si>
  <si>
    <t>Lisa Maxwell</t>
  </si>
  <si>
    <t>Edmund Cole</t>
  </si>
  <si>
    <t>Elizabeth Watkins</t>
  </si>
  <si>
    <t>Garry Santos</t>
  </si>
  <si>
    <t>Alton Rodriquez</t>
  </si>
  <si>
    <t>Armando Chambers</t>
  </si>
  <si>
    <t>Physics Score Out Of 100</t>
  </si>
  <si>
    <t>Physics Score Out of 100</t>
  </si>
  <si>
    <t>Chemistry Score Out of 100</t>
  </si>
  <si>
    <t>=VLOOKUP(G2,A:C,3,0,FALSE)</t>
  </si>
  <si>
    <t>Units Required</t>
  </si>
  <si>
    <t>Item A</t>
  </si>
  <si>
    <t>Item B</t>
  </si>
  <si>
    <t>Item C</t>
  </si>
  <si>
    <t>Item D</t>
  </si>
  <si>
    <t>Item E</t>
  </si>
  <si>
    <t>Order Status (Order Fulfilled/Order Unfulfilled)</t>
  </si>
  <si>
    <t>Nper</t>
  </si>
  <si>
    <t>Pmt</t>
  </si>
  <si>
    <t>Payment Made Each Period</t>
  </si>
  <si>
    <t>Find the sum of all the values in the first table.</t>
  </si>
  <si>
    <t>If sum of the values in the first table is greater than 4, then display 1. Else display 0.</t>
  </si>
  <si>
    <r>
      <t xml:space="preserve">Formula in cell D2: </t>
    </r>
    <r>
      <rPr>
        <b/>
        <sz val="11"/>
        <color theme="1"/>
        <rFont val="Calibri"/>
        <family val="2"/>
        <scheme val="minor"/>
      </rPr>
      <t>=B2*C2</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</si>
  <si>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</si>
  <si>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</si>
  <si>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</si>
  <si>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t>Mathematics Score Out of 100</t>
  </si>
  <si>
    <t>Admission Number</t>
  </si>
  <si>
    <t>Overall Grade</t>
  </si>
  <si>
    <t>Mary Salazar</t>
  </si>
  <si>
    <t>Kari Mccormick</t>
  </si>
  <si>
    <t>James Rogers</t>
  </si>
  <si>
    <t>Madeline Gomez</t>
  </si>
  <si>
    <t>Jana Greene</t>
  </si>
  <si>
    <t>Paulette Miller</t>
  </si>
  <si>
    <t>Leona Logan</t>
  </si>
  <si>
    <t>Rick Valdez</t>
  </si>
  <si>
    <t>Rosie Mendez</t>
  </si>
  <si>
    <t>Andre Garza</t>
  </si>
  <si>
    <t>Formulas in Column G</t>
  </si>
  <si>
    <r>
      <t xml:space="preserve">Formula in cell G2: </t>
    </r>
    <r>
      <rPr>
        <b/>
        <sz val="11"/>
        <color theme="1"/>
        <rFont val="Calibri"/>
        <family val="2"/>
        <scheme val="minor"/>
      </rPr>
      <t>=VLOOKUP(F2,$B$2:$C$11,2,0)</t>
    </r>
  </si>
  <si>
    <r>
      <t xml:space="preserve">Formula in cell G3: </t>
    </r>
    <r>
      <rPr>
        <b/>
        <sz val="11"/>
        <color theme="1"/>
        <rFont val="Calibri"/>
        <family val="2"/>
        <scheme val="minor"/>
      </rPr>
      <t>=VLOOKUP(F3,$B$2:$C$11,2,0)</t>
    </r>
  </si>
  <si>
    <r>
      <t xml:space="preserve">Formula in cell G4: </t>
    </r>
    <r>
      <rPr>
        <b/>
        <sz val="11"/>
        <color theme="1"/>
        <rFont val="Calibri"/>
        <family val="2"/>
        <scheme val="minor"/>
      </rPr>
      <t>=VLOOKUP(F4,$B$2:$C$11,2,0)</t>
    </r>
  </si>
  <si>
    <r>
      <t xml:space="preserve">Formula in cell G5: </t>
    </r>
    <r>
      <rPr>
        <b/>
        <sz val="11"/>
        <color theme="1"/>
        <rFont val="Calibri"/>
        <family val="2"/>
        <scheme val="minor"/>
      </rPr>
      <t>=VLOOKUP(F5,$B$2:$C$11,2,0)</t>
    </r>
  </si>
  <si>
    <r>
      <t xml:space="preserve">Formula in cell G6: </t>
    </r>
    <r>
      <rPr>
        <b/>
        <sz val="11"/>
        <color theme="1"/>
        <rFont val="Calibri"/>
        <family val="2"/>
        <scheme val="minor"/>
      </rPr>
      <t>=VLOOKUP(F6,$B$2:$C$11,2,0)</t>
    </r>
  </si>
  <si>
    <r>
      <t xml:space="preserve">Formula in cell G7: </t>
    </r>
    <r>
      <rPr>
        <b/>
        <sz val="11"/>
        <color theme="1"/>
        <rFont val="Calibri"/>
        <family val="2"/>
        <scheme val="minor"/>
      </rPr>
      <t>=VLOOKUP(F7,$B$2:$C$11,2,0)</t>
    </r>
  </si>
  <si>
    <r>
      <t xml:space="preserve">Formula in cell G8: </t>
    </r>
    <r>
      <rPr>
        <b/>
        <sz val="11"/>
        <color theme="1"/>
        <rFont val="Calibri"/>
        <family val="2"/>
        <scheme val="minor"/>
      </rPr>
      <t>=VLOOKUP(F8,$B$2:$C$11,2,0)</t>
    </r>
  </si>
  <si>
    <r>
      <t xml:space="preserve">Formula in cell G9: </t>
    </r>
    <r>
      <rPr>
        <b/>
        <sz val="11"/>
        <color theme="1"/>
        <rFont val="Calibri"/>
        <family val="2"/>
        <scheme val="minor"/>
      </rPr>
      <t>=VLOOKUP(F9,$B$2:$C$11,2,0)</t>
    </r>
  </si>
  <si>
    <r>
      <t xml:space="preserve">Formula in cell G10: </t>
    </r>
    <r>
      <rPr>
        <b/>
        <sz val="11"/>
        <color theme="1"/>
        <rFont val="Calibri"/>
        <family val="2"/>
        <scheme val="minor"/>
      </rPr>
      <t>=VLOOKUP(F10,$B$2:$C$11,2,0)</t>
    </r>
  </si>
  <si>
    <r>
      <t xml:space="preserve">Formula in cell G11: </t>
    </r>
    <r>
      <rPr>
        <b/>
        <sz val="11"/>
        <color theme="1"/>
        <rFont val="Calibri"/>
        <family val="2"/>
        <scheme val="minor"/>
      </rPr>
      <t>=VLOOKUP(F11,$B$2:$C$11,2,0)</t>
    </r>
  </si>
  <si>
    <r>
      <t xml:space="preserve">Formula in cell D2: </t>
    </r>
    <r>
      <rPr>
        <b/>
        <sz val="11"/>
        <color theme="1"/>
        <rFont val="Calibri"/>
        <family val="2"/>
        <scheme val="minor"/>
      </rPr>
      <t>=B2-C2</t>
    </r>
  </si>
  <si>
    <r>
      <t xml:space="preserve">Formula in cell D6: </t>
    </r>
    <r>
      <rPr>
        <b/>
        <sz val="11"/>
        <color theme="1"/>
        <rFont val="Calibri"/>
        <family val="2"/>
        <scheme val="minor"/>
      </rPr>
      <t>=B2-C6</t>
    </r>
  </si>
  <si>
    <r>
      <t xml:space="preserve">Formula in cell D7: </t>
    </r>
    <r>
      <rPr>
        <b/>
        <sz val="11"/>
        <color theme="1"/>
        <rFont val="Calibri"/>
        <family val="2"/>
        <scheme val="minor"/>
      </rPr>
      <t>=B2-C7</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</si>
  <si>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</si>
  <si>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</si>
  <si>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</si>
  <si>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r>
      <t>Area of Square in meter</t>
    </r>
    <r>
      <rPr>
        <b/>
        <vertAlign val="superscript"/>
        <sz val="11"/>
        <color theme="0"/>
        <rFont val="Calibri"/>
        <family val="2"/>
        <scheme val="minor"/>
      </rPr>
      <t>2</t>
    </r>
  </si>
  <si>
    <t>Square Side in meter</t>
  </si>
  <si>
    <t>Rectangle Perimeter in meters</t>
  </si>
  <si>
    <t>Rectangle Length in meters</t>
  </si>
  <si>
    <t>Rectangle Breadth in meters</t>
  </si>
  <si>
    <t>Item Category</t>
  </si>
  <si>
    <t>Category A</t>
  </si>
  <si>
    <t>Category B</t>
  </si>
  <si>
    <t>Category C</t>
  </si>
  <si>
    <t>Category B1</t>
  </si>
  <si>
    <t>Category A1</t>
  </si>
  <si>
    <t>Category C1</t>
  </si>
  <si>
    <t>Quantity (SUMIF With Multiple Criteria)</t>
  </si>
  <si>
    <t>Quantity (SUMIFS With Multiple Criteria)</t>
  </si>
  <si>
    <r>
      <t xml:space="preserve">Formula in cell F5: </t>
    </r>
    <r>
      <rPr>
        <b/>
        <sz val="11"/>
        <color theme="1"/>
        <rFont val="Calibri"/>
        <family val="2"/>
        <scheme val="minor"/>
      </rPr>
      <t>=SUMIF(A2:A11,F1,C2:C11)+SUMIF(B2:B11,F2,C2:C11)</t>
    </r>
  </si>
  <si>
    <r>
      <t xml:space="preserve">Formula in cell F6: </t>
    </r>
    <r>
      <rPr>
        <b/>
        <sz val="11"/>
        <color theme="1"/>
        <rFont val="Calibri"/>
        <family val="2"/>
        <scheme val="minor"/>
      </rPr>
      <t>=SUMIFS(C2:C11,A2:A11,F1,B2:B11,F2)</t>
    </r>
  </si>
  <si>
    <t>Dealer</t>
  </si>
  <si>
    <t>P1</t>
  </si>
  <si>
    <t>P2</t>
  </si>
  <si>
    <t>P3</t>
  </si>
  <si>
    <t>Dealer 1</t>
  </si>
  <si>
    <t>Dealer 2</t>
  </si>
  <si>
    <t>Dealer 3</t>
  </si>
  <si>
    <t>2019 Sales In $</t>
  </si>
  <si>
    <t>2020 Sales In $</t>
  </si>
  <si>
    <t>2021 Sales In $</t>
  </si>
  <si>
    <t>Dealers</t>
  </si>
  <si>
    <t>2021- Total Sales in $</t>
  </si>
  <si>
    <t>Apple iPhone 14 Pro and Pro Max</t>
  </si>
  <si>
    <t>Samsung Galaxy S22 Plus</t>
  </si>
  <si>
    <t>Samsung Galaxy S22 Ultra.</t>
  </si>
  <si>
    <t>Apple iPhone 13 Mini.</t>
  </si>
  <si>
    <t>Google Pixel 6.</t>
  </si>
  <si>
    <t>Google Pixel 6A.</t>
  </si>
  <si>
    <t>Samsung Galaxy Z Flip 4</t>
  </si>
  <si>
    <t>Total Number Of Units Ordered- Samsung and Apple</t>
  </si>
  <si>
    <t>Fruit Grade</t>
  </si>
  <si>
    <t>Grade 1</t>
  </si>
  <si>
    <t>Grade 2</t>
  </si>
  <si>
    <t>Grade 3</t>
  </si>
  <si>
    <t>Grade 4</t>
  </si>
  <si>
    <t>Total Units Delivered: Grades 1, 2, &amp; 3 Fruits</t>
  </si>
  <si>
    <t>Designation 1</t>
  </si>
  <si>
    <t>Designation 2</t>
  </si>
  <si>
    <t>Jean Little</t>
  </si>
  <si>
    <t>Yvette Gibson</t>
  </si>
  <si>
    <t>Nelson Allison</t>
  </si>
  <si>
    <t>Roger Farmer</t>
  </si>
  <si>
    <t>Jessica Ballard</t>
  </si>
  <si>
    <t>Alicia Murray</t>
  </si>
  <si>
    <t>Alfonso Hunter</t>
  </si>
  <si>
    <t>Sean Fuller</t>
  </si>
  <si>
    <t>Henry Kim</t>
  </si>
  <si>
    <t>Kelli Cannon</t>
  </si>
  <si>
    <t>Game Points Scored Out Of 100</t>
  </si>
  <si>
    <t>Total Game Points Scored By Designations 1 and 2</t>
  </si>
  <si>
    <t>Points Earned</t>
  </si>
  <si>
    <t>Anita Keller</t>
  </si>
  <si>
    <t>Ryan Brady</t>
  </si>
  <si>
    <t>Pat George</t>
  </si>
  <si>
    <t>Student 1</t>
  </si>
  <si>
    <t>Student 2</t>
  </si>
  <si>
    <t>Total Points Earned By Students 1 And 2</t>
  </si>
  <si>
    <t>Q1,2020</t>
  </si>
  <si>
    <t>Q2,2020</t>
  </si>
  <si>
    <t>Q3,2020</t>
  </si>
  <si>
    <t>Q4,2020</t>
  </si>
  <si>
    <t>Q1,2021</t>
  </si>
  <si>
    <t>Q2,2021</t>
  </si>
  <si>
    <t>Q3,2021</t>
  </si>
  <si>
    <t>Q4,2021</t>
  </si>
  <si>
    <t>Quarters</t>
  </si>
  <si>
    <t>Q1,2019</t>
  </si>
  <si>
    <t>Q2,2019</t>
  </si>
  <si>
    <t>Q3,2019</t>
  </si>
  <si>
    <t>Q4,2019</t>
  </si>
  <si>
    <t>Department</t>
  </si>
  <si>
    <t>HR</t>
  </si>
  <si>
    <t>IT</t>
  </si>
  <si>
    <t>Finance</t>
  </si>
  <si>
    <t>Tech Support</t>
  </si>
  <si>
    <t>POC</t>
  </si>
  <si>
    <t>Units</t>
  </si>
  <si>
    <t>Asset</t>
  </si>
  <si>
    <t>Laptop</t>
  </si>
  <si>
    <t>VOIP</t>
  </si>
  <si>
    <t>Angel Phelps</t>
  </si>
  <si>
    <t>Billie Hubbard</t>
  </si>
  <si>
    <t>Total Units Ordered
POCs: Angel Phelps, Stewart White
Duration: Feb and Mar</t>
  </si>
  <si>
    <t>Product 1</t>
  </si>
  <si>
    <t>Product 2</t>
  </si>
  <si>
    <t>Product 3</t>
  </si>
  <si>
    <t>Product 4</t>
  </si>
  <si>
    <t>Product 7</t>
  </si>
  <si>
    <t>Total Value Of Orders Not Delivered in $</t>
  </si>
  <si>
    <t>Order Value in $</t>
  </si>
  <si>
    <t>Smartwatch</t>
  </si>
  <si>
    <t>PC</t>
  </si>
  <si>
    <t>Brand</t>
  </si>
  <si>
    <t>Lenovo</t>
  </si>
  <si>
    <t>Samsung</t>
  </si>
  <si>
    <t>OnePlus</t>
  </si>
  <si>
    <t>Acer</t>
  </si>
  <si>
    <t>Total Units</t>
  </si>
  <si>
    <t>Apple and Acer</t>
  </si>
  <si>
    <t>Brands</t>
  </si>
  <si>
    <t>Height in inches</t>
  </si>
  <si>
    <t>Weight in lbs</t>
  </si>
  <si>
    <t>Correlation Coefficient</t>
  </si>
  <si>
    <t>Dataset 1</t>
  </si>
  <si>
    <t>Dataset 2</t>
  </si>
  <si>
    <t>Correlation Coefficient (Using Mathematical Expression)</t>
  </si>
  <si>
    <t>Correlation Coefficient (Using CORREL Excel Function)</t>
  </si>
  <si>
    <t>Correlation Coefficient (Mathematical Expression Calculations)</t>
  </si>
  <si>
    <r>
      <t>x</t>
    </r>
    <r>
      <rPr>
        <b/>
        <vertAlign val="subscript"/>
        <sz val="11"/>
        <color theme="0"/>
        <rFont val="Calibri"/>
        <family val="2"/>
        <scheme val="minor"/>
      </rPr>
      <t>mean</t>
    </r>
  </si>
  <si>
    <r>
      <t>y</t>
    </r>
    <r>
      <rPr>
        <b/>
        <vertAlign val="subscript"/>
        <sz val="11"/>
        <color theme="0"/>
        <rFont val="Calibri"/>
        <family val="2"/>
        <scheme val="minor"/>
      </rPr>
      <t>mean</t>
    </r>
  </si>
  <si>
    <r>
      <t>(x - x</t>
    </r>
    <r>
      <rPr>
        <b/>
        <vertAlign val="subscript"/>
        <sz val="11"/>
        <color theme="0"/>
        <rFont val="Calibri"/>
        <family val="2"/>
        <scheme val="minor"/>
      </rPr>
      <t>mean</t>
    </r>
    <r>
      <rPr>
        <b/>
        <sz val="11"/>
        <color theme="0"/>
        <rFont val="Calibri"/>
        <family val="2"/>
        <scheme val="minor"/>
      </rPr>
      <t>)</t>
    </r>
  </si>
  <si>
    <r>
      <t>(y - y</t>
    </r>
    <r>
      <rPr>
        <b/>
        <vertAlign val="subscript"/>
        <sz val="11"/>
        <color theme="0"/>
        <rFont val="Calibri"/>
        <family val="2"/>
        <scheme val="minor"/>
      </rPr>
      <t>mean</t>
    </r>
    <r>
      <rPr>
        <b/>
        <sz val="11"/>
        <color theme="0"/>
        <rFont val="Calibri"/>
        <family val="2"/>
        <scheme val="minor"/>
      </rPr>
      <t>)</t>
    </r>
  </si>
  <si>
    <r>
      <t>(x - x</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</si>
  <si>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(y - y</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</si>
  <si>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(x - x</t>
    </r>
    <r>
      <rPr>
        <b/>
        <vertAlign val="subscript"/>
        <sz val="11"/>
        <color theme="0"/>
        <rFont val="Calibri"/>
        <family val="2"/>
        <scheme val="minor"/>
      </rPr>
      <t>mean</t>
    </r>
    <r>
      <rPr>
        <b/>
        <sz val="11"/>
        <color theme="0"/>
        <rFont val="Calibri"/>
        <family val="2"/>
        <scheme val="minor"/>
      </rPr>
      <t>)(y - y</t>
    </r>
    <r>
      <rPr>
        <b/>
        <vertAlign val="subscript"/>
        <sz val="11"/>
        <color theme="0"/>
        <rFont val="Calibri"/>
        <family val="2"/>
        <scheme val="minor"/>
      </rPr>
      <t>mean</t>
    </r>
    <r>
      <rPr>
        <b/>
        <sz val="11"/>
        <color theme="0"/>
        <rFont val="Calibri"/>
        <family val="2"/>
        <scheme val="minor"/>
      </rPr>
      <t>)</t>
    </r>
  </si>
  <si>
    <t>Age in years (x)</t>
  </si>
  <si>
    <t>Weight in lbs (y)</t>
  </si>
  <si>
    <t>X</t>
  </si>
  <si>
    <t>Y</t>
  </si>
  <si>
    <t>Correlation Coefficient Between X and Y Datasets</t>
  </si>
  <si>
    <t>Stock N% Change</t>
  </si>
  <si>
    <t>S&amp;P Weekly Change in %</t>
  </si>
  <si>
    <t>Correlation Coeffecient</t>
  </si>
  <si>
    <t>Number Of Hours Studied</t>
  </si>
  <si>
    <t>Marks Scored Out Of 100</t>
  </si>
  <si>
    <t>Full Marks Status</t>
  </si>
  <si>
    <r>
      <t xml:space="preserve">Formula in cell B2: </t>
    </r>
    <r>
      <rPr>
        <b/>
        <sz val="11"/>
        <color theme="1"/>
        <rFont val="Calibri"/>
        <family val="2"/>
        <scheme val="minor"/>
      </rPr>
      <t>=IF(A2=100,"Full Marks",FALSE())</t>
    </r>
  </si>
  <si>
    <r>
      <t xml:space="preserve">Formula in cell B3: </t>
    </r>
    <r>
      <rPr>
        <b/>
        <sz val="11"/>
        <color theme="1"/>
        <rFont val="Calibri"/>
        <family val="2"/>
        <scheme val="minor"/>
      </rPr>
      <t>=IF(A3=100,"Full Marks",FALSE())</t>
    </r>
  </si>
  <si>
    <r>
      <t xml:space="preserve">Formula in cell B4: </t>
    </r>
    <r>
      <rPr>
        <b/>
        <sz val="11"/>
        <color theme="1"/>
        <rFont val="Calibri"/>
        <family val="2"/>
        <scheme val="minor"/>
      </rPr>
      <t>=IF(A4=100,"Full Marks",FALSE())</t>
    </r>
  </si>
  <si>
    <r>
      <t xml:space="preserve">Formula in cell B5: </t>
    </r>
    <r>
      <rPr>
        <b/>
        <sz val="11"/>
        <color theme="1"/>
        <rFont val="Calibri"/>
        <family val="2"/>
        <scheme val="minor"/>
      </rPr>
      <t>=IF(A5=100,"Full Marks",FALSE())</t>
    </r>
  </si>
  <si>
    <r>
      <t xml:space="preserve">Formula in cell B6: </t>
    </r>
    <r>
      <rPr>
        <b/>
        <sz val="11"/>
        <color theme="1"/>
        <rFont val="Calibri"/>
        <family val="2"/>
        <scheme val="minor"/>
      </rPr>
      <t>=IF(A6=100,"Full Marks",FALSE())</t>
    </r>
  </si>
  <si>
    <r>
      <t xml:space="preserve">Formula in cell B7: </t>
    </r>
    <r>
      <rPr>
        <b/>
        <sz val="11"/>
        <color theme="1"/>
        <rFont val="Calibri"/>
        <family val="2"/>
        <scheme val="minor"/>
      </rPr>
      <t>=IF(A7=100,"Full Marks",FALSE())</t>
    </r>
  </si>
  <si>
    <r>
      <t xml:space="preserve">Formula in cell B8: </t>
    </r>
    <r>
      <rPr>
        <b/>
        <sz val="11"/>
        <color theme="1"/>
        <rFont val="Calibri"/>
        <family val="2"/>
        <scheme val="minor"/>
      </rPr>
      <t>=IF(A8=100,"Full Marks",FALSE())</t>
    </r>
  </si>
  <si>
    <r>
      <t xml:space="preserve">Formula in cell B9: </t>
    </r>
    <r>
      <rPr>
        <b/>
        <sz val="11"/>
        <color theme="1"/>
        <rFont val="Calibri"/>
        <family val="2"/>
        <scheme val="minor"/>
      </rPr>
      <t>=IF(A9=100,"Full Marks",FALSE())</t>
    </r>
  </si>
  <si>
    <r>
      <t xml:space="preserve">Formula in cell B10: </t>
    </r>
    <r>
      <rPr>
        <b/>
        <sz val="11"/>
        <color theme="1"/>
        <rFont val="Calibri"/>
        <family val="2"/>
        <scheme val="minor"/>
      </rPr>
      <t>=IF(A10=100,"Full Marks",FALSE())</t>
    </r>
  </si>
  <si>
    <r>
      <t xml:space="preserve">Formula in cell B11: </t>
    </r>
    <r>
      <rPr>
        <b/>
        <sz val="11"/>
        <color theme="1"/>
        <rFont val="Calibri"/>
        <family val="2"/>
        <scheme val="minor"/>
      </rPr>
      <t>=IF(A11=100,"Full Marks",FALSE())</t>
    </r>
  </si>
  <si>
    <t>Condition Statement</t>
  </si>
  <si>
    <t>Oil is denser than water.</t>
  </si>
  <si>
    <t>Is 25 the square root of 725?</t>
  </si>
  <si>
    <t>Apple MacBook Air M2</t>
  </si>
  <si>
    <t>Dell XPS 13</t>
  </si>
  <si>
    <t>HP Pavilion Aero 13</t>
  </si>
  <si>
    <t>Lenovo Yoga 7i</t>
  </si>
  <si>
    <t>Apple MacBook Air M1 2020</t>
  </si>
  <si>
    <t>Acer Chromebook Spin 714</t>
  </si>
  <si>
    <t>Lenovo Yoga 9i Gen 7</t>
  </si>
  <si>
    <t>Samsung Galaxy Book 2 Pro 360</t>
  </si>
  <si>
    <t>Apple MacBook Pro</t>
  </si>
  <si>
    <t>Dell Inspiron 16 Plus</t>
  </si>
  <si>
    <t>Demand Met (TRUE/FALSE)</t>
  </si>
  <si>
    <t>Order Shipped</t>
  </si>
  <si>
    <t>US State Capital</t>
  </si>
  <si>
    <t>US State- Capital Match (TRUE/FALSE)</t>
  </si>
  <si>
    <t>Total Number Of Mismatch</t>
  </si>
  <si>
    <t>Juneau</t>
  </si>
  <si>
    <t>Springfield</t>
  </si>
  <si>
    <t>Kansas</t>
  </si>
  <si>
    <t>Des Moines</t>
  </si>
  <si>
    <t>VALUE 2</t>
  </si>
  <si>
    <t>Arithmetic Operation</t>
  </si>
  <si>
    <t>FALSE()</t>
  </si>
  <si>
    <t>Total Quantity Of Non-Category A Fruits</t>
  </si>
  <si>
    <t>Bottom Number</t>
  </si>
  <si>
    <t>Top Number</t>
  </si>
  <si>
    <t>New Employee</t>
  </si>
  <si>
    <t>Assigned Employee ID</t>
  </si>
  <si>
    <t>Kerry Cortez</t>
  </si>
  <si>
    <t>Patricia Nelson</t>
  </si>
  <si>
    <t>Joan Brown</t>
  </si>
  <si>
    <t>Benny Myers</t>
  </si>
  <si>
    <t>Clark Hunter</t>
  </si>
  <si>
    <t>Olive Mccormick</t>
  </si>
  <si>
    <t>Rickey Shelton</t>
  </si>
  <si>
    <t>Marcella Berry</t>
  </si>
  <si>
    <t>Roxanne Bradley</t>
  </si>
  <si>
    <t>Steve Wolfe</t>
  </si>
  <si>
    <r>
      <t xml:space="preserve">Formula in cell B2: </t>
    </r>
    <r>
      <rPr>
        <b/>
        <sz val="11"/>
        <color theme="1"/>
        <rFont val="Calibri"/>
        <family val="2"/>
        <scheme val="minor"/>
      </rPr>
      <t>=RANDBETWEEN(100,200)</t>
    </r>
  </si>
  <si>
    <r>
      <t xml:space="preserve">Formula in cell B3: </t>
    </r>
    <r>
      <rPr>
        <b/>
        <sz val="11"/>
        <color theme="1"/>
        <rFont val="Calibri"/>
        <family val="2"/>
        <scheme val="minor"/>
      </rPr>
      <t>=RANDBETWEEN(100,200)</t>
    </r>
  </si>
  <si>
    <r>
      <t xml:space="preserve">Formula in cell B4: </t>
    </r>
    <r>
      <rPr>
        <b/>
        <sz val="11"/>
        <color theme="1"/>
        <rFont val="Calibri"/>
        <family val="2"/>
        <scheme val="minor"/>
      </rPr>
      <t>=RANDBETWEEN(100,200)</t>
    </r>
  </si>
  <si>
    <r>
      <t xml:space="preserve">Formula in cell B5: </t>
    </r>
    <r>
      <rPr>
        <b/>
        <sz val="11"/>
        <color theme="1"/>
        <rFont val="Calibri"/>
        <family val="2"/>
        <scheme val="minor"/>
      </rPr>
      <t>=RANDBETWEEN(100,200)</t>
    </r>
  </si>
  <si>
    <r>
      <t xml:space="preserve">Formula in cell B6: </t>
    </r>
    <r>
      <rPr>
        <b/>
        <sz val="11"/>
        <color theme="1"/>
        <rFont val="Calibri"/>
        <family val="2"/>
        <scheme val="minor"/>
      </rPr>
      <t>=RANDBETWEEN(100,200)</t>
    </r>
  </si>
  <si>
    <r>
      <t xml:space="preserve">Formula in cell B7: </t>
    </r>
    <r>
      <rPr>
        <b/>
        <sz val="11"/>
        <color theme="1"/>
        <rFont val="Calibri"/>
        <family val="2"/>
        <scheme val="minor"/>
      </rPr>
      <t>=RANDBETWEEN(100,200)</t>
    </r>
  </si>
  <si>
    <r>
      <t xml:space="preserve">Formula in cell B8: </t>
    </r>
    <r>
      <rPr>
        <b/>
        <sz val="11"/>
        <color theme="1"/>
        <rFont val="Calibri"/>
        <family val="2"/>
        <scheme val="minor"/>
      </rPr>
      <t>=RANDBETWEEN(100,200)</t>
    </r>
  </si>
  <si>
    <r>
      <t xml:space="preserve">Formula in cell B9: </t>
    </r>
    <r>
      <rPr>
        <b/>
        <sz val="11"/>
        <color theme="1"/>
        <rFont val="Calibri"/>
        <family val="2"/>
        <scheme val="minor"/>
      </rPr>
      <t>=RANDBETWEEN(100,200)</t>
    </r>
  </si>
  <si>
    <r>
      <t xml:space="preserve">Formula in cell B10: </t>
    </r>
    <r>
      <rPr>
        <b/>
        <sz val="11"/>
        <color theme="1"/>
        <rFont val="Calibri"/>
        <family val="2"/>
        <scheme val="minor"/>
      </rPr>
      <t>=RANDBETWEEN(100,200)</t>
    </r>
  </si>
  <si>
    <r>
      <t xml:space="preserve">Formula in cell B11: </t>
    </r>
    <r>
      <rPr>
        <b/>
        <sz val="11"/>
        <color theme="1"/>
        <rFont val="Calibri"/>
        <family val="2"/>
        <scheme val="minor"/>
      </rPr>
      <t>=RANDBETWEEN(100,200)</t>
    </r>
  </si>
  <si>
    <t>Randomly Generated Number</t>
  </si>
  <si>
    <t>10 Randomly Generated Numbers</t>
  </si>
  <si>
    <t>Maximum Points</t>
  </si>
  <si>
    <t>Game Round</t>
  </si>
  <si>
    <t>Product 5</t>
  </si>
  <si>
    <t>Product 6</t>
  </si>
  <si>
    <t>Product 8</t>
  </si>
  <si>
    <t>Product 9</t>
  </si>
  <si>
    <t>Product 10</t>
  </si>
  <si>
    <t>Order Date - March</t>
  </si>
  <si>
    <t>Player</t>
  </si>
  <si>
    <t>Team (A/B/C/D)</t>
  </si>
  <si>
    <t>Elisa Thompson</t>
  </si>
  <si>
    <t>Anita Francis</t>
  </si>
  <si>
    <t>Jacquelyn Clarke</t>
  </si>
  <si>
    <t>Anthony Morrison</t>
  </si>
  <si>
    <t>Anna Swanson</t>
  </si>
  <si>
    <t>Cristina Morris</t>
  </si>
  <si>
    <t>Walter Mason</t>
  </si>
  <si>
    <t>Bradford Cook</t>
  </si>
  <si>
    <t>Dora Nichols</t>
  </si>
  <si>
    <t>Elsa Higgins</t>
  </si>
  <si>
    <t>6 Random Dates Between 10/1/2022 and 10/20/2022</t>
  </si>
  <si>
    <t>10 Random Numbers Between 20 and 50 With Duplicates</t>
  </si>
  <si>
    <t>10 Random Numbers Between 20 and 50 Without Duplicates</t>
  </si>
  <si>
    <t>Minimum Points</t>
  </si>
  <si>
    <t>Predicted Exact Points Scored</t>
  </si>
  <si>
    <t>Number 1</t>
  </si>
  <si>
    <t>Number 2</t>
  </si>
  <si>
    <t>Number 3</t>
  </si>
  <si>
    <t>Required Product</t>
  </si>
  <si>
    <t>Determine the product of all three numbers.</t>
  </si>
  <si>
    <t>Determine the product of Numbers 1 and 2.</t>
  </si>
  <si>
    <t>Determine the product of Numbers 1 and 3.</t>
  </si>
  <si>
    <t>Determine the product of Numbers 2 and 3.</t>
  </si>
  <si>
    <r>
      <t xml:space="preserve">Formula in cell E2: </t>
    </r>
    <r>
      <rPr>
        <b/>
        <sz val="11"/>
        <color theme="1"/>
        <rFont val="Calibri"/>
        <family val="2"/>
        <scheme val="minor"/>
      </rPr>
      <t>=PRODUCT(A2,B2)</t>
    </r>
  </si>
  <si>
    <r>
      <t xml:space="preserve">Formula in cell E3: </t>
    </r>
    <r>
      <rPr>
        <b/>
        <sz val="11"/>
        <color theme="1"/>
        <rFont val="Calibri"/>
        <family val="2"/>
        <scheme val="minor"/>
      </rPr>
      <t>=PRODUCT(B3,C3)</t>
    </r>
  </si>
  <si>
    <r>
      <t xml:space="preserve">Formula in cell E4: </t>
    </r>
    <r>
      <rPr>
        <b/>
        <sz val="11"/>
        <color theme="1"/>
        <rFont val="Calibri"/>
        <family val="2"/>
        <scheme val="minor"/>
      </rPr>
      <t>=PRODUCT(A4,C4)</t>
    </r>
  </si>
  <si>
    <r>
      <t xml:space="preserve">Formula in cell E5: </t>
    </r>
    <r>
      <rPr>
        <b/>
        <sz val="11"/>
        <color theme="1"/>
        <rFont val="Calibri"/>
        <family val="2"/>
        <scheme val="minor"/>
      </rPr>
      <t>=PRODUCT(A5:C5)</t>
    </r>
  </si>
  <si>
    <t>Input Value 1</t>
  </si>
  <si>
    <t>Input Value 2</t>
  </si>
  <si>
    <t>Input Value 3</t>
  </si>
  <si>
    <t>Input Value 4</t>
  </si>
  <si>
    <t>Input Value 5</t>
  </si>
  <si>
    <t>Input Value 6</t>
  </si>
  <si>
    <t>z</t>
  </si>
  <si>
    <t>Test 1- Result (Units)</t>
  </si>
  <si>
    <t>Test 2- Result (Units)</t>
  </si>
  <si>
    <t>Test 3- Result (Units)</t>
  </si>
  <si>
    <t>Product of Tests 1 and 3 results.</t>
  </si>
  <si>
    <t>Product of all Tests from Week 3.</t>
  </si>
  <si>
    <t>Required Values For Review (Units)</t>
  </si>
  <si>
    <t>Apple- Price per carton in $</t>
  </si>
  <si>
    <t>Apple- Average Monthly Price per carton in $</t>
  </si>
  <si>
    <t>Apple- Total Price in $</t>
  </si>
  <si>
    <t>Model</t>
  </si>
  <si>
    <t>ABG0934</t>
  </si>
  <si>
    <t>GHD1982</t>
  </si>
  <si>
    <t>VHC7525</t>
  </si>
  <si>
    <t>BDK8157</t>
  </si>
  <si>
    <t>MNL9310</t>
  </si>
  <si>
    <t>IFO1653</t>
  </si>
  <si>
    <t>PSW3589</t>
  </si>
  <si>
    <t>SBC2560</t>
  </si>
  <si>
    <t>JNB3329</t>
  </si>
  <si>
    <t>CZX9428</t>
  </si>
  <si>
    <t>Quantity Produced Per Month</t>
  </si>
  <si>
    <t>Production Increase Factor</t>
  </si>
  <si>
    <t>Expected Net Monthly Production</t>
  </si>
  <si>
    <t>Apple MacBook Air (M2)</t>
  </si>
  <si>
    <t>MacBook Pro (14-inch and 16-inch)</t>
  </si>
  <si>
    <t>MacBook Air (M1)</t>
  </si>
  <si>
    <t>HP Spectre x360 14</t>
  </si>
  <si>
    <t>Asus ROG Zephyrus G15</t>
  </si>
  <si>
    <t>Asus Zenbook Pro Duo 14</t>
  </si>
  <si>
    <t>Asus ROG Zephyrus G14</t>
  </si>
  <si>
    <t>Asus Chromebook Flip CX5</t>
  </si>
  <si>
    <t>LG Gram 17</t>
  </si>
  <si>
    <t>Lenovo ThinkPad X1 Nano</t>
  </si>
  <si>
    <t>Total Price Of Order in $</t>
  </si>
  <si>
    <t>Apple- Quantity in million bushels cartons</t>
  </si>
  <si>
    <t>Apple- Total Quantity in million bushels cartons</t>
  </si>
  <si>
    <t>2020- Sales in USD</t>
  </si>
  <si>
    <t>2021- Sales in USD</t>
  </si>
  <si>
    <t>PR_1</t>
  </si>
  <si>
    <t>PR_2</t>
  </si>
  <si>
    <t>PR_3</t>
  </si>
  <si>
    <t>PR_4</t>
  </si>
  <si>
    <t>PR_5</t>
  </si>
  <si>
    <t>Consolidate Function In Excel_Worksheet</t>
  </si>
  <si>
    <t>2020- Overall Sales in USD</t>
  </si>
  <si>
    <t>2021- Overall Sales in USD</t>
  </si>
  <si>
    <t>Q1 Revenue in USD</t>
  </si>
  <si>
    <t>Q2 Revenue in USD</t>
  </si>
  <si>
    <t>Q3 Revenue in USD</t>
  </si>
  <si>
    <t>Q4 Revenue in USD</t>
  </si>
  <si>
    <t>Corn Type</t>
  </si>
  <si>
    <t>Field Corn</t>
  </si>
  <si>
    <t>Sweet Corn</t>
  </si>
  <si>
    <t>White Corn</t>
  </si>
  <si>
    <t>Mathematics Score Out Of 100</t>
  </si>
  <si>
    <t>Chemistry Score Out Of 100</t>
  </si>
  <si>
    <t>Biology Score Out Of 100</t>
  </si>
  <si>
    <t>Kayla Smith</t>
  </si>
  <si>
    <t>Frankie Garner</t>
  </si>
  <si>
    <t>Janice Ryan</t>
  </si>
  <si>
    <t>Donald Vargas</t>
  </si>
  <si>
    <t>Lucia Ortiz</t>
  </si>
  <si>
    <t>Sara West</t>
  </si>
  <si>
    <t>Emanuel Bailey</t>
  </si>
  <si>
    <t>Jeanette Murray</t>
  </si>
  <si>
    <t>Antonio Sutton</t>
  </si>
  <si>
    <t>Maryann Armstrong</t>
  </si>
  <si>
    <t>Jan- Units Ordered</t>
  </si>
  <si>
    <t>Feb- Units Ordered</t>
  </si>
  <si>
    <t>Mar- Units Ordered</t>
  </si>
  <si>
    <t>Galaxy S8+</t>
  </si>
  <si>
    <t>Samsung Galaxy Note 10 Plus</t>
  </si>
  <si>
    <t>Galaxy S10</t>
  </si>
  <si>
    <t>Jan- Overall Units Ordered</t>
  </si>
  <si>
    <t>Feb- Overall Units Ordered</t>
  </si>
  <si>
    <t>Mar- Overall Units Ordered</t>
  </si>
  <si>
    <t>Number 4</t>
  </si>
  <si>
    <t>Number 5</t>
  </si>
  <si>
    <t>Min Temp in °C</t>
  </si>
  <si>
    <t>Max Temp in °C</t>
  </si>
  <si>
    <t>Average Min Temp in °C</t>
  </si>
  <si>
    <t>Average Max Temp in °C</t>
  </si>
  <si>
    <t>Week Number</t>
  </si>
  <si>
    <t>Week Begins On</t>
  </si>
  <si>
    <t>Week Number (For System 1)</t>
  </si>
  <si>
    <t>Week Begins On (Return Type)</t>
  </si>
  <si>
    <t>Monday (2 or 11)</t>
  </si>
  <si>
    <t>Tuesday (12)</t>
  </si>
  <si>
    <t>Wednesday (13)</t>
  </si>
  <si>
    <t>Thursday (14)</t>
  </si>
  <si>
    <t>Friday (15)</t>
  </si>
  <si>
    <t>Saturday (16)</t>
  </si>
  <si>
    <r>
      <t xml:space="preserve">Formula in cell D3: </t>
    </r>
    <r>
      <rPr>
        <b/>
        <sz val="11"/>
        <color theme="1"/>
        <rFont val="Calibri"/>
        <family val="2"/>
        <scheme val="minor"/>
      </rPr>
      <t>=WEEKNUM(A3,2)</t>
    </r>
  </si>
  <si>
    <r>
      <t xml:space="preserve">Formula in cell D4: </t>
    </r>
    <r>
      <rPr>
        <b/>
        <sz val="11"/>
        <color theme="1"/>
        <rFont val="Calibri"/>
        <family val="2"/>
        <scheme val="minor"/>
      </rPr>
      <t>=WEEKNUM(A4,12)</t>
    </r>
  </si>
  <si>
    <r>
      <t xml:space="preserve">Formula in cell D5: </t>
    </r>
    <r>
      <rPr>
        <b/>
        <sz val="11"/>
        <color theme="1"/>
        <rFont val="Calibri"/>
        <family val="2"/>
        <scheme val="minor"/>
      </rPr>
      <t>=WEEKNUM(A5,13)</t>
    </r>
  </si>
  <si>
    <r>
      <t xml:space="preserve">Formula in cell D6: </t>
    </r>
    <r>
      <rPr>
        <b/>
        <sz val="11"/>
        <color theme="1"/>
        <rFont val="Calibri"/>
        <family val="2"/>
        <scheme val="minor"/>
      </rPr>
      <t>=WEEKNUM(A6,14)</t>
    </r>
  </si>
  <si>
    <r>
      <t xml:space="preserve">Formula in cell D7: </t>
    </r>
    <r>
      <rPr>
        <b/>
        <sz val="11"/>
        <color theme="1"/>
        <rFont val="Calibri"/>
        <family val="2"/>
        <scheme val="minor"/>
      </rPr>
      <t>=WEEKNUM(A7,15)</t>
    </r>
  </si>
  <si>
    <r>
      <t xml:space="preserve">Formula in cell D8: </t>
    </r>
    <r>
      <rPr>
        <b/>
        <sz val="11"/>
        <color theme="1"/>
        <rFont val="Calibri"/>
        <family val="2"/>
        <scheme val="minor"/>
      </rPr>
      <t>=WEEKNUM(A8,16)</t>
    </r>
  </si>
  <si>
    <r>
      <t xml:space="preserve">Formula in cell D2: </t>
    </r>
    <r>
      <rPr>
        <b/>
        <sz val="11"/>
        <color theme="1"/>
        <rFont val="Calibri"/>
        <family val="2"/>
        <scheme val="minor"/>
      </rPr>
      <t>=WEEKNUM(A2)</t>
    </r>
  </si>
  <si>
    <t>System</t>
  </si>
  <si>
    <t>1 or omitted</t>
  </si>
  <si>
    <t>Tuesday</t>
  </si>
  <si>
    <t>Wednesday</t>
  </si>
  <si>
    <t>Friday</t>
  </si>
  <si>
    <t>Week Commences On</t>
  </si>
  <si>
    <t>Interpretation</t>
  </si>
  <si>
    <t>First Week of the Year- The week containing January 1st.</t>
  </si>
  <si>
    <t>First Week of the Year- The week containing first Thursday of the year. It is an ISO 8601 specified system and called the European week numbering system.</t>
  </si>
  <si>
    <t>return_type</t>
  </si>
  <si>
    <t>Week number of April 13th, 2022</t>
  </si>
  <si>
    <t>Week number of April 13th, 2024</t>
  </si>
  <si>
    <t>Week number of April 13th, 2026</t>
  </si>
  <si>
    <t>Week number of April 13th, 2019</t>
  </si>
  <si>
    <t>Week number of April 13th, 2020</t>
  </si>
  <si>
    <t>Week number of April 13th, 2021</t>
  </si>
  <si>
    <t>Profit in $</t>
  </si>
  <si>
    <t>Week Number Within The Month (Sun-Sat Weeks)</t>
  </si>
  <si>
    <t>Revenue in USD</t>
  </si>
  <si>
    <t>Sales Date</t>
  </si>
  <si>
    <t>Total Revenue in USD</t>
  </si>
  <si>
    <t>Total Weekly Revenue Data</t>
  </si>
  <si>
    <t>Return Type</t>
  </si>
  <si>
    <t>Sunday (1 or Omitted)</t>
  </si>
  <si>
    <t>Argument</t>
  </si>
  <si>
    <t>TDIST Excel Function</t>
  </si>
  <si>
    <t>Numeric value at which to evaluate the distribution.</t>
  </si>
  <si>
    <t>Degree of freedom.</t>
  </si>
  <si>
    <t>deg_freedom</t>
  </si>
  <si>
    <t>tails</t>
  </si>
  <si>
    <t>Number of distribution tails to return.</t>
  </si>
  <si>
    <t>Value Set 1</t>
  </si>
  <si>
    <r>
      <t xml:space="preserve">Formula in cell D8: </t>
    </r>
    <r>
      <rPr>
        <b/>
        <sz val="11"/>
        <color theme="1"/>
        <rFont val="Calibri"/>
        <family val="2"/>
        <scheme val="minor"/>
      </rPr>
      <t>=TDIST(C3,C4,C5)</t>
    </r>
  </si>
  <si>
    <r>
      <t xml:space="preserve">Formula in cell D9: </t>
    </r>
    <r>
      <rPr>
        <b/>
        <sz val="11"/>
        <color theme="1"/>
        <rFont val="Calibri"/>
        <family val="2"/>
        <scheme val="minor"/>
      </rPr>
      <t>=TDIST(D3,D4,D5)</t>
    </r>
  </si>
  <si>
    <t>Value Set 2</t>
  </si>
  <si>
    <t>One-tailed T-distribution Probability Percentage (Input: Value Set 1)</t>
  </si>
  <si>
    <t>Two-tailed T-distribution Probability Percentage (Input: Value Set 2)</t>
  </si>
  <si>
    <t>One-tailed T-distribution Probability Percentage</t>
  </si>
  <si>
    <t>p-value</t>
  </si>
  <si>
    <t>T-Test</t>
  </si>
  <si>
    <t>Calculated t-statistic</t>
  </si>
  <si>
    <t>Sample Size (n)</t>
  </si>
  <si>
    <t>Level Of Significance (Alpha)</t>
  </si>
  <si>
    <t>T-Test Type</t>
  </si>
  <si>
    <t>One-tailed</t>
  </si>
  <si>
    <t>Two-tailed</t>
  </si>
  <si>
    <t>Right-tailed</t>
  </si>
  <si>
    <t>Left-tailed and Cumulative Distribution</t>
  </si>
  <si>
    <t>Left-tailed and Probability Density</t>
  </si>
  <si>
    <t>Excel Function</t>
  </si>
  <si>
    <t>TDIST()</t>
  </si>
  <si>
    <t>T.DIST.RT()</t>
  </si>
  <si>
    <t>T.DIST.2T()</t>
  </si>
  <si>
    <t>T.DIST()</t>
  </si>
  <si>
    <t>TDIST &amp; Latest Excel Functions Input</t>
  </si>
  <si>
    <t>Two-tailed T-distribution Probability Percentage</t>
  </si>
  <si>
    <t>Square Root</t>
  </si>
  <si>
    <r>
      <t xml:space="preserve">Formula in cell B2: </t>
    </r>
    <r>
      <rPr>
        <b/>
        <sz val="11"/>
        <color theme="1"/>
        <rFont val="Calibri"/>
        <family val="2"/>
        <scheme val="minor"/>
      </rPr>
      <t>=SQRT(A2)</t>
    </r>
  </si>
  <si>
    <r>
      <t xml:space="preserve">Formula in cell B3: </t>
    </r>
    <r>
      <rPr>
        <b/>
        <sz val="11"/>
        <color theme="1"/>
        <rFont val="Calibri"/>
        <family val="2"/>
        <scheme val="minor"/>
      </rPr>
      <t>=SQRT(A3)</t>
    </r>
  </si>
  <si>
    <r>
      <t xml:space="preserve">Formula in cell B4: </t>
    </r>
    <r>
      <rPr>
        <b/>
        <sz val="11"/>
        <color theme="1"/>
        <rFont val="Calibri"/>
        <family val="2"/>
        <scheme val="minor"/>
      </rPr>
      <t>=SQRT(A4)</t>
    </r>
  </si>
  <si>
    <r>
      <t xml:space="preserve">Formula in cell B5: </t>
    </r>
    <r>
      <rPr>
        <b/>
        <sz val="11"/>
        <color theme="1"/>
        <rFont val="Calibri"/>
        <family val="2"/>
        <scheme val="minor"/>
      </rPr>
      <t>=SQRT(A5)</t>
    </r>
  </si>
  <si>
    <r>
      <t xml:space="preserve">Formula in cell B6: </t>
    </r>
    <r>
      <rPr>
        <b/>
        <sz val="11"/>
        <color theme="1"/>
        <rFont val="Calibri"/>
        <family val="2"/>
        <scheme val="minor"/>
      </rPr>
      <t>=SQRT(A6)</t>
    </r>
  </si>
  <si>
    <r>
      <t xml:space="preserve">Formula in cell B7: </t>
    </r>
    <r>
      <rPr>
        <b/>
        <sz val="11"/>
        <color theme="1"/>
        <rFont val="Calibri"/>
        <family val="2"/>
        <scheme val="minor"/>
      </rPr>
      <t>=SQRT(A7)</t>
    </r>
  </si>
  <si>
    <r>
      <t xml:space="preserve">Formula in cell B8: </t>
    </r>
    <r>
      <rPr>
        <b/>
        <sz val="11"/>
        <color theme="1"/>
        <rFont val="Calibri"/>
        <family val="2"/>
        <scheme val="minor"/>
      </rPr>
      <t>=SQRT(A8)</t>
    </r>
  </si>
  <si>
    <r>
      <t xml:space="preserve">Formula in cell B9: </t>
    </r>
    <r>
      <rPr>
        <b/>
        <sz val="11"/>
        <color theme="1"/>
        <rFont val="Calibri"/>
        <family val="2"/>
        <scheme val="minor"/>
      </rPr>
      <t>=SQRT(A9)</t>
    </r>
  </si>
  <si>
    <t>Square Root (SQRT())</t>
  </si>
  <si>
    <t>Square Root (Number^(1/2))</t>
  </si>
  <si>
    <t>Square Of Value</t>
  </si>
  <si>
    <t>mean</t>
  </si>
  <si>
    <t>standard_dev</t>
  </si>
  <si>
    <t>cumulative</t>
  </si>
  <si>
    <t>Value for which distribution is required.</t>
  </si>
  <si>
    <t>Standard Deviation of distribution.</t>
  </si>
  <si>
    <t>Distribution type</t>
  </si>
  <si>
    <t xml:space="preserve">Normal Probability Density Function </t>
  </si>
  <si>
    <t>Cumulative Normal Distribution Function (Input: Value Set 1)</t>
  </si>
  <si>
    <t>Normal Probability Density Function (Input: Value Set 2)</t>
  </si>
  <si>
    <r>
      <t xml:space="preserve">Formula in cell E9: </t>
    </r>
    <r>
      <rPr>
        <b/>
        <sz val="11"/>
        <color theme="1"/>
        <rFont val="Calibri"/>
        <family val="2"/>
        <scheme val="minor"/>
      </rPr>
      <t>=NORM.DIST(C3,C4,C5,C6)</t>
    </r>
  </si>
  <si>
    <r>
      <t xml:space="preserve">Formula in cell E10: </t>
    </r>
    <r>
      <rPr>
        <b/>
        <sz val="11"/>
        <color theme="1"/>
        <rFont val="Calibri"/>
        <family val="2"/>
        <scheme val="minor"/>
      </rPr>
      <t>=NORM.DIST(D3,D4,D5,D6)</t>
    </r>
  </si>
  <si>
    <t>Arithmetic Mean of distribution.</t>
  </si>
  <si>
    <t>Normal Distribution Calculation Using NORM.DIST()</t>
  </si>
  <si>
    <t>Cumulative Normal Distribution Calculation Using NORM.DIST()</t>
  </si>
  <si>
    <t>Cumulative Normal Distribution Function</t>
  </si>
  <si>
    <t>Student 3</t>
  </si>
  <si>
    <t>Student 4</t>
  </si>
  <si>
    <t>Student 5</t>
  </si>
  <si>
    <t>Student 6</t>
  </si>
  <si>
    <t>Student 7</t>
  </si>
  <si>
    <t>Student 8</t>
  </si>
  <si>
    <t>Student 9</t>
  </si>
  <si>
    <t>Student 10</t>
  </si>
  <si>
    <t>Standard Deviation</t>
  </si>
  <si>
    <t>Mean</t>
  </si>
  <si>
    <t>Normal Probability Density Function (Mathematical Expression)</t>
  </si>
  <si>
    <t xml:space="preserve">Cumulative Normal Distribution Function </t>
  </si>
  <si>
    <t>Stock Rate</t>
  </si>
  <si>
    <t>Mean Stock Rate</t>
  </si>
  <si>
    <t>Standard Deviation of Stock Rate.</t>
  </si>
  <si>
    <t>Divisor</t>
  </si>
  <si>
    <t>Remainder (MOD())</t>
  </si>
  <si>
    <r>
      <t xml:space="preserve">Formula in cell C2: </t>
    </r>
    <r>
      <rPr>
        <b/>
        <sz val="11"/>
        <color theme="1"/>
        <rFont val="Calibri"/>
        <family val="2"/>
        <scheme val="minor"/>
      </rPr>
      <t>=MOD(A2,B2)</t>
    </r>
  </si>
  <si>
    <r>
      <t xml:space="preserve">Formula in cell C3: </t>
    </r>
    <r>
      <rPr>
        <b/>
        <sz val="11"/>
        <color theme="1"/>
        <rFont val="Calibri"/>
        <family val="2"/>
        <scheme val="minor"/>
      </rPr>
      <t>=MOD(A3,B3)</t>
    </r>
  </si>
  <si>
    <r>
      <t xml:space="preserve">Formula in cell C4: </t>
    </r>
    <r>
      <rPr>
        <b/>
        <sz val="11"/>
        <color theme="1"/>
        <rFont val="Calibri"/>
        <family val="2"/>
        <scheme val="minor"/>
      </rPr>
      <t>=MOD(A4,B4)</t>
    </r>
  </si>
  <si>
    <r>
      <t xml:space="preserve">Formula in cell C5: </t>
    </r>
    <r>
      <rPr>
        <b/>
        <sz val="11"/>
        <color theme="1"/>
        <rFont val="Calibri"/>
        <family val="2"/>
        <scheme val="minor"/>
      </rPr>
      <t>=MOD(A5,B5)</t>
    </r>
  </si>
  <si>
    <r>
      <t xml:space="preserve">Formula in cell C7: </t>
    </r>
    <r>
      <rPr>
        <b/>
        <sz val="11"/>
        <color theme="1"/>
        <rFont val="Calibri"/>
        <family val="2"/>
        <scheme val="minor"/>
      </rPr>
      <t>=MOD(A7,B7)</t>
    </r>
  </si>
  <si>
    <t>Remainder After Dividing Number By Divisor</t>
  </si>
  <si>
    <t>Kiwi</t>
  </si>
  <si>
    <t>Regional Office</t>
  </si>
  <si>
    <t>RG1</t>
  </si>
  <si>
    <t>RG2</t>
  </si>
  <si>
    <t>RG3</t>
  </si>
  <si>
    <t>RG4</t>
  </si>
  <si>
    <t>Total Sales In USD</t>
  </si>
  <si>
    <t>Identify Multiples Of Number</t>
  </si>
  <si>
    <t>Total Count Of Even Numbers</t>
  </si>
  <si>
    <t>Total Count Of Odd Numbers</t>
  </si>
  <si>
    <t>First Six Months Total Sales In USD</t>
  </si>
  <si>
    <t>Last Six Months Total Sales In USD</t>
  </si>
  <si>
    <t>February Month- Even And Odd Order Quantity Check</t>
  </si>
  <si>
    <r>
      <t xml:space="preserve">Formula in cell D2: </t>
    </r>
    <r>
      <rPr>
        <b/>
        <sz val="11"/>
        <color theme="1"/>
        <rFont val="Calibri"/>
        <family val="2"/>
        <scheme val="minor"/>
      </rPr>
      <t>=LOG(B2,C2)</t>
    </r>
  </si>
  <si>
    <r>
      <t xml:space="preserve">Formula in cell D3: </t>
    </r>
    <r>
      <rPr>
        <b/>
        <sz val="11"/>
        <color theme="1"/>
        <rFont val="Calibri"/>
        <family val="2"/>
        <scheme val="minor"/>
      </rPr>
      <t>=LOG(B3,C3)</t>
    </r>
  </si>
  <si>
    <r>
      <t xml:space="preserve">Formula in cell D4: </t>
    </r>
    <r>
      <rPr>
        <b/>
        <sz val="11"/>
        <color theme="1"/>
        <rFont val="Calibri"/>
        <family val="2"/>
        <scheme val="minor"/>
      </rPr>
      <t>=LOG(B4)</t>
    </r>
  </si>
  <si>
    <r>
      <t xml:space="preserve">Formula in cell D5: </t>
    </r>
    <r>
      <rPr>
        <b/>
        <sz val="11"/>
        <color theme="1"/>
        <rFont val="Calibri"/>
        <family val="2"/>
        <scheme val="minor"/>
      </rPr>
      <t>=LOG(B5,C5)</t>
    </r>
  </si>
  <si>
    <t>Logarithm of 121 to the base 11.</t>
  </si>
  <si>
    <t>Logarithm of 625 to the base 5.</t>
  </si>
  <si>
    <t>LOG Value</t>
  </si>
  <si>
    <t>Age in years</t>
  </si>
  <si>
    <t>Weight in lb</t>
  </si>
  <si>
    <t>Logarithmic Regression Formula: y = b*Log(x) + a</t>
  </si>
  <si>
    <t>Log(x)</t>
  </si>
  <si>
    <t>Expected y value when x = 1 (a)</t>
  </si>
  <si>
    <t>Expected change in y value with x increasing by a fixed percentage (b)</t>
  </si>
  <si>
    <t>Predicted Weight in lb (y)</t>
  </si>
  <si>
    <t>Logarithm (Input: Value Set 1)</t>
  </si>
  <si>
    <t>Logarithm (Input: Value Set 2)</t>
  </si>
  <si>
    <t>I</t>
  </si>
  <si>
    <r>
      <t>I</t>
    </r>
    <r>
      <rPr>
        <vertAlign val="subscript"/>
        <sz val="11"/>
        <color theme="1"/>
        <rFont val="Calibri"/>
        <family val="2"/>
        <scheme val="minor"/>
      </rPr>
      <t>o</t>
    </r>
  </si>
  <si>
    <t>L(I)</t>
  </si>
  <si>
    <t>Logarithm of 100000 to the base 10.</t>
  </si>
  <si>
    <t>Logarithm of 1500 to the base 2.5.</t>
  </si>
  <si>
    <t>Is Data Text (TRUE/FALSE)</t>
  </si>
  <si>
    <t>Check For Text</t>
  </si>
  <si>
    <r>
      <t xml:space="preserve">Formula in cell A2: </t>
    </r>
    <r>
      <rPr>
        <b/>
        <sz val="11"/>
        <color theme="1"/>
        <rFont val="Calibri"/>
        <family val="2"/>
        <scheme val="minor"/>
      </rPr>
      <t>MS Excel</t>
    </r>
  </si>
  <si>
    <r>
      <t xml:space="preserve">Formula in cell A3: </t>
    </r>
    <r>
      <rPr>
        <b/>
        <sz val="11"/>
        <color theme="1"/>
        <rFont val="Calibri"/>
        <family val="2"/>
        <scheme val="minor"/>
      </rPr>
      <t>=MONTH(DATE(2022,3,1))</t>
    </r>
  </si>
  <si>
    <r>
      <t xml:space="preserve">Formula in cell A4: </t>
    </r>
    <r>
      <rPr>
        <b/>
        <sz val="11"/>
        <color theme="1"/>
        <rFont val="Calibri"/>
        <family val="2"/>
        <scheme val="minor"/>
      </rPr>
      <t>289.45</t>
    </r>
  </si>
  <si>
    <r>
      <t xml:space="preserve">Formula in cell A6: </t>
    </r>
    <r>
      <rPr>
        <b/>
        <sz val="11"/>
        <color theme="1"/>
        <rFont val="Calibri"/>
        <family val="2"/>
        <scheme val="minor"/>
      </rPr>
      <t>TRUE</t>
    </r>
  </si>
  <si>
    <r>
      <t xml:space="preserve">Formula in cell A7: </t>
    </r>
    <r>
      <rPr>
        <b/>
        <sz val="11"/>
        <color theme="1"/>
        <rFont val="Calibri"/>
        <family val="2"/>
        <scheme val="minor"/>
      </rPr>
      <t>February</t>
    </r>
  </si>
  <si>
    <r>
      <t xml:space="preserve">Formula in cell A8: </t>
    </r>
    <r>
      <rPr>
        <b/>
        <sz val="11"/>
        <color theme="1"/>
        <rFont val="Calibri"/>
        <family val="2"/>
        <scheme val="minor"/>
      </rPr>
      <t>Check For Text</t>
    </r>
  </si>
  <si>
    <t>1000</t>
  </si>
  <si>
    <r>
      <t xml:space="preserve">Formula in cell A9: </t>
    </r>
    <r>
      <rPr>
        <b/>
        <sz val="11"/>
        <color theme="1"/>
        <rFont val="Calibri"/>
        <family val="2"/>
        <scheme val="minor"/>
      </rPr>
      <t>'1000</t>
    </r>
  </si>
  <si>
    <r>
      <t xml:space="preserve">Formula in cell A5: </t>
    </r>
    <r>
      <rPr>
        <b/>
        <sz val="11"/>
        <color theme="1"/>
        <rFont val="Calibri"/>
        <family val="2"/>
        <scheme val="minor"/>
      </rPr>
      <t>=NOW()</t>
    </r>
  </si>
  <si>
    <r>
      <t xml:space="preserve">Formula in cell C2: </t>
    </r>
    <r>
      <rPr>
        <b/>
        <sz val="11"/>
        <color theme="1"/>
        <rFont val="Calibri"/>
        <family val="2"/>
        <scheme val="minor"/>
      </rPr>
      <t>=ISTEXT(A2)</t>
    </r>
  </si>
  <si>
    <r>
      <t xml:space="preserve">Formula in cell C3: </t>
    </r>
    <r>
      <rPr>
        <b/>
        <sz val="11"/>
        <color theme="1"/>
        <rFont val="Calibri"/>
        <family val="2"/>
        <scheme val="minor"/>
      </rPr>
      <t>=ISTEXT(A3)</t>
    </r>
  </si>
  <si>
    <r>
      <t xml:space="preserve">Formula in cell C4: </t>
    </r>
    <r>
      <rPr>
        <b/>
        <sz val="11"/>
        <color theme="1"/>
        <rFont val="Calibri"/>
        <family val="2"/>
        <scheme val="minor"/>
      </rPr>
      <t>=ISTEXT(A4)</t>
    </r>
  </si>
  <si>
    <r>
      <t xml:space="preserve">Formula in cell C5: </t>
    </r>
    <r>
      <rPr>
        <b/>
        <sz val="11"/>
        <color theme="1"/>
        <rFont val="Calibri"/>
        <family val="2"/>
        <scheme val="minor"/>
      </rPr>
      <t>=ISTEXT(A5)</t>
    </r>
  </si>
  <si>
    <r>
      <t xml:space="preserve">Formula in cell C6: </t>
    </r>
    <r>
      <rPr>
        <b/>
        <sz val="11"/>
        <color theme="1"/>
        <rFont val="Calibri"/>
        <family val="2"/>
        <scheme val="minor"/>
      </rPr>
      <t>=ISTEXT(A6)</t>
    </r>
  </si>
  <si>
    <r>
      <t xml:space="preserve">Formula in cell C7: </t>
    </r>
    <r>
      <rPr>
        <b/>
        <sz val="11"/>
        <color theme="1"/>
        <rFont val="Calibri"/>
        <family val="2"/>
        <scheme val="minor"/>
      </rPr>
      <t>=ISTEXT(A7)</t>
    </r>
  </si>
  <si>
    <r>
      <t xml:space="preserve">Formula in cell C8: </t>
    </r>
    <r>
      <rPr>
        <b/>
        <sz val="11"/>
        <color theme="1"/>
        <rFont val="Calibri"/>
        <family val="2"/>
        <scheme val="minor"/>
      </rPr>
      <t>=ISTEXT(A8)</t>
    </r>
  </si>
  <si>
    <r>
      <t xml:space="preserve">Formula in cell C9: </t>
    </r>
    <r>
      <rPr>
        <b/>
        <sz val="11"/>
        <color theme="1"/>
        <rFont val="Calibri"/>
        <family val="2"/>
        <scheme val="minor"/>
      </rPr>
      <t>=ISTEXT(A9)</t>
    </r>
  </si>
  <si>
    <t>Is Data Text? (TRUE/FALSE)</t>
  </si>
  <si>
    <t>ABC_001</t>
  </si>
  <si>
    <t>&amp;*&amp;*&amp;*</t>
  </si>
  <si>
    <t>Word</t>
  </si>
  <si>
    <t>Error</t>
  </si>
  <si>
    <t>Blank Cell</t>
  </si>
  <si>
    <t>Custom- Time</t>
  </si>
  <si>
    <t>Data Format</t>
  </si>
  <si>
    <t>AJ0234</t>
  </si>
  <si>
    <t>PL4590</t>
  </si>
  <si>
    <t>NK8835</t>
  </si>
  <si>
    <t>Total Count Of Text Values</t>
  </si>
  <si>
    <t>BN1653</t>
  </si>
  <si>
    <t>Model Name</t>
  </si>
  <si>
    <t>Customer Satisfaction Survey</t>
  </si>
  <si>
    <t>Feedback</t>
  </si>
  <si>
    <t>Store hours</t>
  </si>
  <si>
    <t>The store location</t>
  </si>
  <si>
    <t>Value for money</t>
  </si>
  <si>
    <t>Dish varieties</t>
  </si>
  <si>
    <t>Food quality</t>
  </si>
  <si>
    <t>Accessible</t>
  </si>
  <si>
    <t>Good</t>
  </si>
  <si>
    <t>Excellent</t>
  </si>
  <si>
    <t>Randolph Christensen</t>
  </si>
  <si>
    <t>Jessica Hamilton</t>
  </si>
  <si>
    <t>Kristina Day</t>
  </si>
  <si>
    <t>Ted Castillo</t>
  </si>
  <si>
    <t>Felipe James</t>
  </si>
  <si>
    <t>Dixie Greene</t>
  </si>
  <si>
    <t>Kathleen Collier</t>
  </si>
  <si>
    <t>Micheal Drake</t>
  </si>
  <si>
    <t>Brendan Hogan</t>
  </si>
  <si>
    <t>Marlene Ortiz</t>
  </si>
  <si>
    <t>iPhone 14 Pro Max</t>
  </si>
  <si>
    <t>iPhone 14 Pro</t>
  </si>
  <si>
    <t>iPhone 14</t>
  </si>
  <si>
    <t>iPhone 14 Plus</t>
  </si>
  <si>
    <t>iPhone SE (2022)</t>
  </si>
  <si>
    <t>Samsung Galaxy S22</t>
  </si>
  <si>
    <t>Samsung Galaxy Z Fold 4</t>
  </si>
  <si>
    <t>iPhone Model (Yes/No)</t>
  </si>
  <si>
    <t>Output- Number Rounded Down To Nearest Integer</t>
  </si>
  <si>
    <r>
      <t xml:space="preserve">Formula in cell B2: </t>
    </r>
    <r>
      <rPr>
        <b/>
        <sz val="11"/>
        <color theme="1"/>
        <rFont val="Calibri"/>
        <family val="2"/>
        <scheme val="minor"/>
      </rPr>
      <t>=INT(A2)</t>
    </r>
  </si>
  <si>
    <r>
      <t xml:space="preserve">Formula in cell B3: </t>
    </r>
    <r>
      <rPr>
        <b/>
        <sz val="11"/>
        <color theme="1"/>
        <rFont val="Calibri"/>
        <family val="2"/>
        <scheme val="minor"/>
      </rPr>
      <t>=INT(A3)</t>
    </r>
  </si>
  <si>
    <r>
      <t xml:space="preserve">Formula in cell B4: </t>
    </r>
    <r>
      <rPr>
        <b/>
        <sz val="11"/>
        <color theme="1"/>
        <rFont val="Calibri"/>
        <family val="2"/>
        <scheme val="minor"/>
      </rPr>
      <t>=INT(A4)</t>
    </r>
  </si>
  <si>
    <r>
      <t xml:space="preserve">Formula in cell B5: </t>
    </r>
    <r>
      <rPr>
        <b/>
        <sz val="11"/>
        <color theme="1"/>
        <rFont val="Calibri"/>
        <family val="2"/>
        <scheme val="minor"/>
      </rPr>
      <t>=INT(A5)</t>
    </r>
  </si>
  <si>
    <r>
      <t xml:space="preserve">Formula in cell B6: </t>
    </r>
    <r>
      <rPr>
        <b/>
        <sz val="11"/>
        <color theme="1"/>
        <rFont val="Calibri"/>
        <family val="2"/>
        <scheme val="minor"/>
      </rPr>
      <t>=INT(A6)</t>
    </r>
  </si>
  <si>
    <r>
      <t xml:space="preserve">Formula in cell B7: </t>
    </r>
    <r>
      <rPr>
        <b/>
        <sz val="11"/>
        <color theme="1"/>
        <rFont val="Calibri"/>
        <family val="2"/>
        <scheme val="minor"/>
      </rPr>
      <t>=INT(A7)</t>
    </r>
  </si>
  <si>
    <t>Input Value</t>
  </si>
  <si>
    <t>Split the date from the given date-time value</t>
  </si>
  <si>
    <t>Round down the given number to the nearest integer.</t>
  </si>
  <si>
    <t>String</t>
  </si>
  <si>
    <t>55.219</t>
  </si>
  <si>
    <t>-34.87</t>
  </si>
  <si>
    <t>$61.85</t>
  </si>
  <si>
    <t>-0.12</t>
  </si>
  <si>
    <t>11/9/2022 12 PM</t>
  </si>
  <si>
    <t>String Rounded Down To Nearest Integer</t>
  </si>
  <si>
    <t>Walter Jacobs</t>
  </si>
  <si>
    <t>Freddie Austin</t>
  </si>
  <si>
    <t>Lucas Silva</t>
  </si>
  <si>
    <t>Sidney Graves</t>
  </si>
  <si>
    <t>Winston Bridges</t>
  </si>
  <si>
    <t>Amos Alvarez</t>
  </si>
  <si>
    <t>Salvatore Wilson</t>
  </si>
  <si>
    <t>Raul Patton</t>
  </si>
  <si>
    <t>Ralph Munoz</t>
  </si>
  <si>
    <t>Lester Bates</t>
  </si>
  <si>
    <t>US Coast Guard- Age Eligibility (17-31 Years)</t>
  </si>
  <si>
    <t>Commodity</t>
  </si>
  <si>
    <t>Comm_1</t>
  </si>
  <si>
    <t>Comm_2</t>
  </si>
  <si>
    <t>Comm_3</t>
  </si>
  <si>
    <t>Comm_4</t>
  </si>
  <si>
    <t>Comm_5</t>
  </si>
  <si>
    <t>Decimal Part (Weight in g)</t>
  </si>
  <si>
    <t>Total Weight in kg</t>
  </si>
  <si>
    <t>Actual Number</t>
  </si>
  <si>
    <t>Rounded-up Number</t>
  </si>
  <si>
    <t>Error Value</t>
  </si>
  <si>
    <t>#N/A Error (Yes)</t>
  </si>
  <si>
    <t>Number Multiple Of 2- Status</t>
  </si>
  <si>
    <t>Lynda Barnes</t>
  </si>
  <si>
    <t>Wayne Murray</t>
  </si>
  <si>
    <t>Tyler Harper</t>
  </si>
  <si>
    <t>Beatrice Berry</t>
  </si>
  <si>
    <t>Gretchen Hines</t>
  </si>
  <si>
    <t>Mathew Garza</t>
  </si>
  <si>
    <t>Erika Hudson</t>
  </si>
  <si>
    <t>Marjorie Thompson</t>
  </si>
  <si>
    <t>Marcos Roy</t>
  </si>
  <si>
    <t>Calvin Ruiz</t>
  </si>
  <si>
    <t>Exceeding Expectation</t>
  </si>
  <si>
    <t>Meets Expectations</t>
  </si>
  <si>
    <t>FSDL Team</t>
  </si>
  <si>
    <t>Kevin Reed</t>
  </si>
  <si>
    <t>Appraisal Status</t>
  </si>
  <si>
    <t>Complete</t>
  </si>
  <si>
    <t>Item_1</t>
  </si>
  <si>
    <t>Item_2</t>
  </si>
  <si>
    <t>Item_3</t>
  </si>
  <si>
    <t>Item_4</t>
  </si>
  <si>
    <t>Item_5</t>
  </si>
  <si>
    <t>Item_6</t>
  </si>
  <si>
    <t>Item_7</t>
  </si>
  <si>
    <t>Item_8</t>
  </si>
  <si>
    <t>Item_9</t>
  </si>
  <si>
    <t>Item_10</t>
  </si>
  <si>
    <t>Item_15</t>
  </si>
  <si>
    <t>Eva Bailey</t>
  </si>
  <si>
    <t>Samuel Hamilton</t>
  </si>
  <si>
    <t>Ted Buchanan</t>
  </si>
  <si>
    <t>Valerie Tucker</t>
  </si>
  <si>
    <t>Garry Jefferson</t>
  </si>
  <si>
    <t>Mark Conner</t>
  </si>
  <si>
    <t>Kayla Henry</t>
  </si>
  <si>
    <t>Gerald Ryan</t>
  </si>
  <si>
    <t>Oscar Palmer</t>
  </si>
  <si>
    <t>Kerry Cox</t>
  </si>
  <si>
    <t>Eugene Logan</t>
  </si>
  <si>
    <t>Shelley Pope</t>
  </si>
  <si>
    <t>#N/A Error Status</t>
  </si>
  <si>
    <t>The value is #N/A error.</t>
  </si>
  <si>
    <t>Target Location</t>
  </si>
  <si>
    <t>Hyperlink</t>
  </si>
  <si>
    <t>https://www.excelmojo.com/</t>
  </si>
  <si>
    <t>https://www.bing.com/</t>
  </si>
  <si>
    <t>Bing</t>
  </si>
  <si>
    <t>https://www.google.com/</t>
  </si>
  <si>
    <r>
      <t xml:space="preserve">Formula in cell C2: </t>
    </r>
    <r>
      <rPr>
        <b/>
        <sz val="11"/>
        <color theme="1"/>
        <rFont val="Calibri"/>
        <family val="2"/>
        <scheme val="minor"/>
      </rPr>
      <t>=HYPERLINK(A2,B2)</t>
    </r>
  </si>
  <si>
    <r>
      <t xml:space="preserve">Formula in cell C3: </t>
    </r>
    <r>
      <rPr>
        <b/>
        <sz val="11"/>
        <color theme="1"/>
        <rFont val="Calibri"/>
        <family val="2"/>
        <scheme val="minor"/>
      </rPr>
      <t>=HYPERLINK(A3,B3)</t>
    </r>
  </si>
  <si>
    <r>
      <t xml:space="preserve">Formula in cell C4: </t>
    </r>
    <r>
      <rPr>
        <b/>
        <sz val="11"/>
        <color theme="1"/>
        <rFont val="Calibri"/>
        <family val="2"/>
        <scheme val="minor"/>
      </rPr>
      <t>=HYPERLINK(A4,B4)</t>
    </r>
  </si>
  <si>
    <t>Display Text Of Hyperlink</t>
  </si>
  <si>
    <t>https://www.office.com/</t>
  </si>
  <si>
    <t>Microsoft 365: Login</t>
  </si>
  <si>
    <t>HYPERLINK_Example</t>
  </si>
  <si>
    <t>#HYPERLINK_Example!A1</t>
  </si>
  <si>
    <t>D:\Excel Mojo\Sample_Workbook.xlsx</t>
  </si>
  <si>
    <t>[D:\Excel Mojo\Sample_Workbook.xlsx]Sheet6!A1</t>
  </si>
  <si>
    <t>[D:\Excel Mojo\Sample_Workbook.xlsx]Sheet6!Sample_Named_Range</t>
  </si>
  <si>
    <t>D:\MS Word files\Sample Word File.docx</t>
  </si>
  <si>
    <t>Sample Word File</t>
  </si>
  <si>
    <t>Sample Workbook</t>
  </si>
  <si>
    <t>Sample Workbook_Sheet 6_Cell A1</t>
  </si>
  <si>
    <t>Sample Workbook_Sheet 6_Sample Named Range</t>
  </si>
  <si>
    <t>[D:\MS Word files\Sample Word File.docx]Sample_Bookmark</t>
  </si>
  <si>
    <t>Sample Word File_Sample Bookmark</t>
  </si>
  <si>
    <t>ExcelMojo</t>
  </si>
  <si>
    <t>\\SERVER1\ExcelMojo\Sample Word File.docx</t>
  </si>
  <si>
    <t>Server1_Sample Word File</t>
  </si>
  <si>
    <t>Order Delivery Date</t>
  </si>
  <si>
    <t>Dealer_1</t>
  </si>
  <si>
    <t>Dealer_2</t>
  </si>
  <si>
    <t>Dealer_3</t>
  </si>
  <si>
    <t>Table_Grade1</t>
  </si>
  <si>
    <t>Quantity in Units</t>
  </si>
  <si>
    <t>Table_Grade2</t>
  </si>
  <si>
    <t>Table_Grade3</t>
  </si>
  <si>
    <t>Ordered Item</t>
  </si>
  <si>
    <t>Dealer_4</t>
  </si>
  <si>
    <t>Dealer_5</t>
  </si>
  <si>
    <t>First Ordered Item</t>
  </si>
  <si>
    <t>Email Customer Support Team</t>
  </si>
  <si>
    <t>james.allen@abb.com; kevin.ford@abb.com</t>
  </si>
  <si>
    <t>Customer Support Team</t>
  </si>
  <si>
    <t>customer.support@abb.com</t>
  </si>
  <si>
    <t>Email Address</t>
  </si>
  <si>
    <t>Cell A11</t>
  </si>
  <si>
    <t>Target Cell</t>
  </si>
  <si>
    <t>Hyperlink Display Name</t>
  </si>
  <si>
    <t>Display Text Of Hyperlink To Send An Email</t>
  </si>
  <si>
    <t>Group 1</t>
  </si>
  <si>
    <t>Group 2</t>
  </si>
  <si>
    <t>F-Test Two-Sample for Variances</t>
  </si>
  <si>
    <t>Variance</t>
  </si>
  <si>
    <t>Observations</t>
  </si>
  <si>
    <t>df</t>
  </si>
  <si>
    <t>P(F&lt;=f) one-tail</t>
  </si>
  <si>
    <t>F Critical one-tail</t>
  </si>
  <si>
    <t>Two-sample F-test (One-tailed F-test Using Data Analysis ToolPak)</t>
  </si>
  <si>
    <t>Two-tailed F-test (Using FTEST())</t>
  </si>
  <si>
    <t>Male (Height in inches)</t>
  </si>
  <si>
    <t>Female (Height in inches)</t>
  </si>
  <si>
    <t>Test 2 (seconds)</t>
  </si>
  <si>
    <t>Test 1 (seconds)</t>
  </si>
  <si>
    <t>Two-tailed Probability Value (FTEST())</t>
  </si>
  <si>
    <t>Class A (Score Out Of 100)</t>
  </si>
  <si>
    <t>Class B (Score Out Of 100)</t>
  </si>
  <si>
    <t>FTEST()</t>
  </si>
  <si>
    <t>F.TEST()</t>
  </si>
  <si>
    <t>Sample 1 (Age in years)</t>
  </si>
  <si>
    <t>Sample 2 (Age in years)</t>
  </si>
  <si>
    <t>Dataset 1 (Weight in pound)</t>
  </si>
  <si>
    <t>Dataset 2 (Weight in pound)</t>
  </si>
  <si>
    <t>Two-tailed Probability</t>
  </si>
  <si>
    <r>
      <t xml:space="preserve">Formula in cell C2: </t>
    </r>
    <r>
      <rPr>
        <b/>
        <sz val="11"/>
        <color theme="1"/>
        <rFont val="Calibri"/>
        <family val="2"/>
        <scheme val="minor"/>
      </rPr>
      <t>=EXP(B2)</t>
    </r>
  </si>
  <si>
    <r>
      <t xml:space="preserve">Formula in cell C3: </t>
    </r>
    <r>
      <rPr>
        <b/>
        <sz val="11"/>
        <color theme="1"/>
        <rFont val="Calibri"/>
        <family val="2"/>
        <scheme val="minor"/>
      </rPr>
      <t>=EXP(B3)</t>
    </r>
  </si>
  <si>
    <r>
      <t xml:space="preserve">Formula in cell C4: </t>
    </r>
    <r>
      <rPr>
        <b/>
        <sz val="11"/>
        <color theme="1"/>
        <rFont val="Calibri"/>
        <family val="2"/>
        <scheme val="minor"/>
      </rPr>
      <t>=EXP(B4)</t>
    </r>
  </si>
  <si>
    <r>
      <t xml:space="preserve">Formula in cell C5: </t>
    </r>
    <r>
      <rPr>
        <b/>
        <sz val="11"/>
        <color theme="1"/>
        <rFont val="Calibri"/>
        <family val="2"/>
        <scheme val="minor"/>
      </rPr>
      <t>=EXP(B5)</t>
    </r>
  </si>
  <si>
    <r>
      <t xml:space="preserve">Formula in cell C6: </t>
    </r>
    <r>
      <rPr>
        <b/>
        <sz val="11"/>
        <color theme="1"/>
        <rFont val="Calibri"/>
        <family val="2"/>
        <scheme val="minor"/>
      </rPr>
      <t>=EXP(B6)</t>
    </r>
  </si>
  <si>
    <t>Base e raised to the power 5.</t>
  </si>
  <si>
    <t>Base e raised to the power 1.</t>
  </si>
  <si>
    <t>Base e raised to the power 0.</t>
  </si>
  <si>
    <t>Base e raised to the power -1.</t>
  </si>
  <si>
    <t>Base e raised to the power -5.</t>
  </si>
  <si>
    <t>Base e raised to the power 2.3.</t>
  </si>
  <si>
    <t>Base e raised to the power 9.</t>
  </si>
  <si>
    <t>Base e raised to the power -6.4.</t>
  </si>
  <si>
    <t>Base e raised to the power -10.</t>
  </si>
  <si>
    <t>Base e raised to the power 1/5.</t>
  </si>
  <si>
    <t>Time in years for which the interest is applicable.</t>
  </si>
  <si>
    <t>Initial invested amount in $.</t>
  </si>
  <si>
    <t>Annual interest rate in %.</t>
  </si>
  <si>
    <t>Final amount in $.</t>
  </si>
  <si>
    <r>
      <t>y = ae</t>
    </r>
    <r>
      <rPr>
        <vertAlign val="superscript"/>
        <sz val="11"/>
        <color theme="1"/>
        <rFont val="Calibri"/>
        <family val="2"/>
        <scheme val="minor"/>
      </rPr>
      <t>-2x</t>
    </r>
  </si>
  <si>
    <t>Rounded Exponential Value</t>
  </si>
  <si>
    <t>Exponential Value (EXP())</t>
  </si>
  <si>
    <t>EXP() Result</t>
  </si>
  <si>
    <t>LN(EXP(Number))</t>
  </si>
  <si>
    <r>
      <t xml:space="preserve">Formula in cell B2: </t>
    </r>
    <r>
      <rPr>
        <b/>
        <sz val="11"/>
        <color theme="1"/>
        <rFont val="Calibri"/>
        <family val="2"/>
        <scheme val="minor"/>
      </rPr>
      <t>=LN(EXP(A2))</t>
    </r>
  </si>
  <si>
    <r>
      <t xml:space="preserve">Formula in cell B3: </t>
    </r>
    <r>
      <rPr>
        <b/>
        <sz val="11"/>
        <color theme="1"/>
        <rFont val="Calibri"/>
        <family val="2"/>
        <scheme val="minor"/>
      </rPr>
      <t>=LN(EXP(A3))</t>
    </r>
  </si>
  <si>
    <r>
      <t xml:space="preserve">Formula in cell B4: </t>
    </r>
    <r>
      <rPr>
        <b/>
        <sz val="11"/>
        <color theme="1"/>
        <rFont val="Calibri"/>
        <family val="2"/>
        <scheme val="minor"/>
      </rPr>
      <t>=LN(EXP(A4))</t>
    </r>
  </si>
  <si>
    <r>
      <t>Continuous Compound Interest (A = Pe</t>
    </r>
    <r>
      <rPr>
        <b/>
        <vertAlign val="superscript"/>
        <sz val="11"/>
        <color theme="0"/>
        <rFont val="Calibri"/>
        <family val="2"/>
        <scheme val="minor"/>
      </rPr>
      <t>rt</t>
    </r>
    <r>
      <rPr>
        <b/>
        <sz val="11"/>
        <color theme="0"/>
        <rFont val="Calibri"/>
        <family val="2"/>
        <scheme val="minor"/>
      </rPr>
      <t>)</t>
    </r>
  </si>
  <si>
    <t>Database</t>
  </si>
  <si>
    <t>Quantity (Boxes)</t>
  </si>
  <si>
    <t>Total Cost in $</t>
  </si>
  <si>
    <t>Criteria</t>
  </si>
  <si>
    <t>Field</t>
  </si>
  <si>
    <t>DMAX() Output</t>
  </si>
  <si>
    <t>Maximum Quantity (Boxes)</t>
  </si>
  <si>
    <t>Gender</t>
  </si>
  <si>
    <t>Age (years)</t>
  </si>
  <si>
    <t>Weight (pound)</t>
  </si>
  <si>
    <t>Tricia Anderson</t>
  </si>
  <si>
    <t>Darin Summers</t>
  </si>
  <si>
    <t>Preston Weaver</t>
  </si>
  <si>
    <t>Amber Burns</t>
  </si>
  <si>
    <t>Tammy Barker</t>
  </si>
  <si>
    <t>Sarah Perez</t>
  </si>
  <si>
    <t>Rochelle Paul</t>
  </si>
  <si>
    <t>Kristina Price</t>
  </si>
  <si>
    <t>Aubrey Wright</t>
  </si>
  <si>
    <t>Rita Cohen</t>
  </si>
  <si>
    <t>Mable Kelly</t>
  </si>
  <si>
    <t>Denise Houston</t>
  </si>
  <si>
    <t>Female</t>
  </si>
  <si>
    <t>Male</t>
  </si>
  <si>
    <t>Height (cm)</t>
  </si>
  <si>
    <t>Maximum Height (cm)</t>
  </si>
  <si>
    <t>&gt;80</t>
  </si>
  <si>
    <t>MacBook Pro (2021)</t>
  </si>
  <si>
    <t>Google Pixelbook Go</t>
  </si>
  <si>
    <t>Dell XPS 17</t>
  </si>
  <si>
    <t>Acer Nitro 5</t>
  </si>
  <si>
    <t>HP Envy x360</t>
  </si>
  <si>
    <t>Lenovo Yoga 9i</t>
  </si>
  <si>
    <t>Dell</t>
  </si>
  <si>
    <t>Cost Per Unit in USD</t>
  </si>
  <si>
    <t>Ordered Quantity (Units)</t>
  </si>
  <si>
    <t>Total Order Cost in USD</t>
  </si>
  <si>
    <t>&gt;10</t>
  </si>
  <si>
    <t>&gt;$1,000</t>
  </si>
  <si>
    <t>Maximum: Total Order Cost in USD</t>
  </si>
  <si>
    <t>Database: Laptop_Order_Data</t>
  </si>
  <si>
    <t>Fame in %</t>
  </si>
  <si>
    <t>Popularity in %</t>
  </si>
  <si>
    <t>iPhone XS</t>
  </si>
  <si>
    <t>Google Pixel XL</t>
  </si>
  <si>
    <t>iPhone 8 Plus</t>
  </si>
  <si>
    <t>iPhone SE 2020</t>
  </si>
  <si>
    <t>&gt;80%</t>
  </si>
  <si>
    <t>Maximum: Popularity in %</t>
  </si>
  <si>
    <t>New York City</t>
  </si>
  <si>
    <t>Pennsylvania</t>
  </si>
  <si>
    <t>San Antonio</t>
  </si>
  <si>
    <t>San Diego</t>
  </si>
  <si>
    <t>San Jose</t>
  </si>
  <si>
    <t>Maximum Population</t>
  </si>
  <si>
    <t>Entire Database</t>
  </si>
  <si>
    <t>Task 7</t>
  </si>
  <si>
    <t>Task Deadline</t>
  </si>
  <si>
    <t>FTE</t>
  </si>
  <si>
    <t>Duration (Days)</t>
  </si>
  <si>
    <t>&lt;3/31/2022</t>
  </si>
  <si>
    <t>&gt;3/1/2022</t>
  </si>
  <si>
    <t>Maximum Duration (Days)</t>
  </si>
  <si>
    <t>&lt;20</t>
  </si>
  <si>
    <t>*Phone</t>
  </si>
  <si>
    <t>Covariance</t>
  </si>
  <si>
    <t>Marketing Cost in USD</t>
  </si>
  <si>
    <t>Stock ABC (%)</t>
  </si>
  <si>
    <t>Stock XYZ (%)</t>
  </si>
  <si>
    <r>
      <t>y</t>
    </r>
    <r>
      <rPr>
        <b/>
        <sz val="11"/>
        <color theme="0"/>
        <rFont val="Calibri"/>
        <family val="2"/>
      </rPr>
      <t>̅</t>
    </r>
  </si>
  <si>
    <r>
      <t>x</t>
    </r>
    <r>
      <rPr>
        <b/>
        <sz val="11"/>
        <color theme="0"/>
        <rFont val="Calibri"/>
        <family val="2"/>
      </rPr>
      <t xml:space="preserve">̅ </t>
    </r>
  </si>
  <si>
    <t>Group 1 (x)</t>
  </si>
  <si>
    <t>Group 2 (y)</t>
  </si>
  <si>
    <t>(x - x̅ )</t>
  </si>
  <si>
    <t>(y - y̅)</t>
  </si>
  <si>
    <t>(x - x̅ )(y - y̅)</t>
  </si>
  <si>
    <t>Covariance Mathematical Calculation</t>
  </si>
  <si>
    <t>Covariance (COVAR())</t>
  </si>
  <si>
    <t>COVAR()</t>
  </si>
  <si>
    <t xml:space="preserve"> Mathematical Expression</t>
  </si>
  <si>
    <t>Datasets</t>
  </si>
  <si>
    <t>Population Covariance (COVARIANCE.P())</t>
  </si>
  <si>
    <t>Sample Covariance (COVARIANCE.S())</t>
  </si>
  <si>
    <t>Covariance Calculation</t>
  </si>
  <si>
    <t>Firm A</t>
  </si>
  <si>
    <t>Firm B</t>
  </si>
  <si>
    <t>Revenue in million USD</t>
  </si>
  <si>
    <t>Charles Reed</t>
  </si>
  <si>
    <t xml:space="preserve"> </t>
  </si>
  <si>
    <t>Blank cell</t>
  </si>
  <si>
    <t>Percentage value</t>
  </si>
  <si>
    <t>Error value</t>
  </si>
  <si>
    <t>Zero</t>
  </si>
  <si>
    <t>Count of empty cells in cell range A2:A12</t>
  </si>
  <si>
    <t>One Space character</t>
  </si>
  <si>
    <t>Cell containing formula returning an empty string: =IF(MOD(4,2)=0,"","NA")</t>
  </si>
  <si>
    <t>Empty Cell Count</t>
  </si>
  <si>
    <t>Day 1- Sales in $</t>
  </si>
  <si>
    <t>Day 2- Sales in $</t>
  </si>
  <si>
    <t>Day 3- Sales in $</t>
  </si>
  <si>
    <t>Day 4- Sales in $</t>
  </si>
  <si>
    <t>Day 5- Sales in $</t>
  </si>
  <si>
    <t>ABVLD4590</t>
  </si>
  <si>
    <t>CBNMD1221</t>
  </si>
  <si>
    <t>VBJLK3490</t>
  </si>
  <si>
    <t>CFASE1930</t>
  </si>
  <si>
    <t>YLTRE2836</t>
  </si>
  <si>
    <t>Total Empty Cells (B2:F6)</t>
  </si>
  <si>
    <t>Physics- Score Out Of 100</t>
  </si>
  <si>
    <t>Howard Ortega</t>
  </si>
  <si>
    <t>Edna Baker</t>
  </si>
  <si>
    <t>Lisa Lawson</t>
  </si>
  <si>
    <t>Nathan Paul</t>
  </si>
  <si>
    <t>Lionel Barnett</t>
  </si>
  <si>
    <t>Geraldine Padilla</t>
  </si>
  <si>
    <t>Lorenzo Ingram</t>
  </si>
  <si>
    <t>Ramona Reeves</t>
  </si>
  <si>
    <t>Myra Walters</t>
  </si>
  <si>
    <t>Jean Allison</t>
  </si>
  <si>
    <t>Jan- Orders Delivered</t>
  </si>
  <si>
    <t>Feb- Orders Delivered</t>
  </si>
  <si>
    <t>Mar- Orders Delivered</t>
  </si>
  <si>
    <t>Apr- Orders Delivered</t>
  </si>
  <si>
    <t>May- Orders Delivered</t>
  </si>
  <si>
    <t>Jun- Orders Delivered</t>
  </si>
  <si>
    <t>Richmond</t>
  </si>
  <si>
    <t>Portland</t>
  </si>
  <si>
    <t>Orders Delivered- Default Total Entries</t>
  </si>
  <si>
    <t>Orders Delivered- Total Entries With No Data</t>
  </si>
  <si>
    <t>Orders Delivered- Total Entries With Data</t>
  </si>
  <si>
    <t>Data Description</t>
  </si>
  <si>
    <t xml:space="preserve">  </t>
  </si>
  <si>
    <t>Cell containing formula returning an empty string: =IF("b"&gt;"a","","NA")</t>
  </si>
  <si>
    <t>Total Empty Cells (Cell Range A2:A11)</t>
  </si>
  <si>
    <t>Scientific Number</t>
  </si>
  <si>
    <t>Two Space Characters</t>
  </si>
  <si>
    <t>Week1 - Sales in USD</t>
  </si>
  <si>
    <t>Week2 - Sales in USD</t>
  </si>
  <si>
    <t>Week3 - Sales in USD</t>
  </si>
  <si>
    <t>Week4 - Sales in USD</t>
  </si>
  <si>
    <t>Empty Cells Count</t>
  </si>
  <si>
    <t>Total Empty Columns</t>
  </si>
  <si>
    <t>Observed</t>
  </si>
  <si>
    <t>Expected</t>
  </si>
  <si>
    <r>
      <t>(Observed - Expected)</t>
    </r>
    <r>
      <rPr>
        <b/>
        <vertAlign val="superscript"/>
        <sz val="11"/>
        <color theme="0"/>
        <rFont val="Calibri"/>
        <family val="2"/>
        <scheme val="minor"/>
      </rPr>
      <t>2</t>
    </r>
    <r>
      <rPr>
        <b/>
        <sz val="11"/>
        <color theme="0"/>
        <rFont val="Calibri"/>
        <family val="2"/>
        <scheme val="minor"/>
      </rPr>
      <t>/Expected</t>
    </r>
  </si>
  <si>
    <t>Chi-Square Test P-value</t>
  </si>
  <si>
    <t>df, Degree Of Freedom</t>
  </si>
  <si>
    <t>Branch Office 2- Orders Delivered</t>
  </si>
  <si>
    <t>Branch Office 1- Orders Delivered</t>
  </si>
  <si>
    <t>Total</t>
  </si>
  <si>
    <r>
      <t>Chi-Square Data Points = (Observed - Expected)</t>
    </r>
    <r>
      <rPr>
        <b/>
        <vertAlign val="superscript"/>
        <sz val="11"/>
        <color theme="0"/>
        <rFont val="Calibri"/>
        <family val="2"/>
        <scheme val="minor"/>
      </rPr>
      <t>2</t>
    </r>
    <r>
      <rPr>
        <b/>
        <sz val="11"/>
        <color theme="0"/>
        <rFont val="Calibri"/>
        <family val="2"/>
        <scheme val="minor"/>
      </rPr>
      <t>/Expected</t>
    </r>
  </si>
  <si>
    <r>
      <t xml:space="preserve">Formula in cell B21: </t>
    </r>
    <r>
      <rPr>
        <b/>
        <sz val="11"/>
        <color theme="1"/>
        <rFont val="Calibri"/>
        <family val="2"/>
        <scheme val="minor"/>
      </rPr>
      <t>=((B4-B13)^2)/B13</t>
    </r>
  </si>
  <si>
    <r>
      <t xml:space="preserve">Formula in cell B22: </t>
    </r>
    <r>
      <rPr>
        <b/>
        <sz val="11"/>
        <color theme="1"/>
        <rFont val="Calibri"/>
        <family val="2"/>
        <scheme val="minor"/>
      </rPr>
      <t>=((B5-B14)^2)/B14</t>
    </r>
  </si>
  <si>
    <r>
      <t xml:space="preserve">Formula in cell B23: </t>
    </r>
    <r>
      <rPr>
        <b/>
        <sz val="11"/>
        <color theme="1"/>
        <rFont val="Calibri"/>
        <family val="2"/>
        <scheme val="minor"/>
      </rPr>
      <t>=((B6-B15)^2)/B15</t>
    </r>
  </si>
  <si>
    <r>
      <t xml:space="preserve">Formula in cell B24: </t>
    </r>
    <r>
      <rPr>
        <b/>
        <sz val="11"/>
        <color theme="1"/>
        <rFont val="Calibri"/>
        <family val="2"/>
        <scheme val="minor"/>
      </rPr>
      <t>=((B7-B16)^2)/B16</t>
    </r>
  </si>
  <si>
    <r>
      <t xml:space="preserve">Formula in cell C21: </t>
    </r>
    <r>
      <rPr>
        <b/>
        <sz val="11"/>
        <color theme="1"/>
        <rFont val="Calibri"/>
        <family val="2"/>
        <scheme val="minor"/>
      </rPr>
      <t>=((C4-C13)^2)/C13</t>
    </r>
  </si>
  <si>
    <r>
      <t xml:space="preserve">Formula in cell C22: </t>
    </r>
    <r>
      <rPr>
        <b/>
        <sz val="11"/>
        <color theme="1"/>
        <rFont val="Calibri"/>
        <family val="2"/>
        <scheme val="minor"/>
      </rPr>
      <t>=((C5-C14)^2)/C14</t>
    </r>
  </si>
  <si>
    <r>
      <t xml:space="preserve">Formula in cell C23: </t>
    </r>
    <r>
      <rPr>
        <b/>
        <sz val="11"/>
        <color theme="1"/>
        <rFont val="Calibri"/>
        <family val="2"/>
        <scheme val="minor"/>
      </rPr>
      <t>=((C6-C15)^2)/C15</t>
    </r>
  </si>
  <si>
    <r>
      <t xml:space="preserve">Formula in cell C24: </t>
    </r>
    <r>
      <rPr>
        <b/>
        <sz val="11"/>
        <color theme="1"/>
        <rFont val="Calibri"/>
        <family val="2"/>
        <scheme val="minor"/>
      </rPr>
      <t>=((C7-C16)^2)/C16</t>
    </r>
  </si>
  <si>
    <t xml:space="preserve">Chi-Square Test </t>
  </si>
  <si>
    <t>df, Degree Of Freedom ((rows-1)(columns-1))</t>
  </si>
  <si>
    <r>
      <rPr>
        <sz val="11"/>
        <color theme="1"/>
        <rFont val="Calibri"/>
        <family val="2"/>
        <scheme val="minor"/>
      </rPr>
      <t>Formula in cell B13:</t>
    </r>
    <r>
      <rPr>
        <b/>
        <sz val="11"/>
        <color theme="1"/>
        <rFont val="Calibri"/>
        <family val="2"/>
        <scheme val="minor"/>
      </rPr>
      <t xml:space="preserve"> =$B$9*D4/$D$9</t>
    </r>
  </si>
  <si>
    <r>
      <rPr>
        <sz val="11"/>
        <color theme="1"/>
        <rFont val="Calibri"/>
        <family val="2"/>
        <scheme val="minor"/>
      </rPr>
      <t>Formula in cell B14:</t>
    </r>
    <r>
      <rPr>
        <b/>
        <sz val="11"/>
        <color theme="1"/>
        <rFont val="Calibri"/>
        <family val="2"/>
        <scheme val="minor"/>
      </rPr>
      <t xml:space="preserve"> =$B$9*D5/$D$9</t>
    </r>
  </si>
  <si>
    <r>
      <rPr>
        <sz val="11"/>
        <color theme="1"/>
        <rFont val="Calibri"/>
        <family val="2"/>
        <scheme val="minor"/>
      </rPr>
      <t>Formula in cell B15:</t>
    </r>
    <r>
      <rPr>
        <b/>
        <sz val="11"/>
        <color theme="1"/>
        <rFont val="Calibri"/>
        <family val="2"/>
        <scheme val="minor"/>
      </rPr>
      <t xml:space="preserve"> =$B$9*D6/$D$9</t>
    </r>
  </si>
  <si>
    <r>
      <rPr>
        <sz val="11"/>
        <color theme="1"/>
        <rFont val="Calibri"/>
        <family val="2"/>
        <scheme val="minor"/>
      </rPr>
      <t>Formula in cell B16:</t>
    </r>
    <r>
      <rPr>
        <b/>
        <sz val="11"/>
        <color theme="1"/>
        <rFont val="Calibri"/>
        <family val="2"/>
        <scheme val="minor"/>
      </rPr>
      <t xml:space="preserve"> =$B$9*D7/$D$9</t>
    </r>
  </si>
  <si>
    <r>
      <rPr>
        <sz val="11"/>
        <color theme="1"/>
        <rFont val="Calibri"/>
        <family val="2"/>
        <scheme val="minor"/>
      </rPr>
      <t>Formula in cell B17:</t>
    </r>
    <r>
      <rPr>
        <b/>
        <sz val="11"/>
        <color theme="1"/>
        <rFont val="Calibri"/>
        <family val="2"/>
        <scheme val="minor"/>
      </rPr>
      <t xml:space="preserve"> =$B$9*D8/$D$9</t>
    </r>
  </si>
  <si>
    <r>
      <rPr>
        <sz val="11"/>
        <color theme="1"/>
        <rFont val="Calibri"/>
        <family val="2"/>
        <scheme val="minor"/>
      </rPr>
      <t xml:space="preserve">Formula in cell C13: </t>
    </r>
    <r>
      <rPr>
        <b/>
        <sz val="11"/>
        <color theme="1"/>
        <rFont val="Calibri"/>
        <family val="2"/>
        <scheme val="minor"/>
      </rPr>
      <t>=$C$9*D4/$D$9</t>
    </r>
  </si>
  <si>
    <r>
      <rPr>
        <sz val="11"/>
        <color theme="1"/>
        <rFont val="Calibri"/>
        <family val="2"/>
        <scheme val="minor"/>
      </rPr>
      <t xml:space="preserve">Formula in cell C14: </t>
    </r>
    <r>
      <rPr>
        <b/>
        <sz val="11"/>
        <color theme="1"/>
        <rFont val="Calibri"/>
        <family val="2"/>
        <scheme val="minor"/>
      </rPr>
      <t>=$C$9*D5/$D$9</t>
    </r>
  </si>
  <si>
    <r>
      <rPr>
        <sz val="11"/>
        <color theme="1"/>
        <rFont val="Calibri"/>
        <family val="2"/>
        <scheme val="minor"/>
      </rPr>
      <t xml:space="preserve">Formula in cell C15: </t>
    </r>
    <r>
      <rPr>
        <b/>
        <sz val="11"/>
        <color theme="1"/>
        <rFont val="Calibri"/>
        <family val="2"/>
        <scheme val="minor"/>
      </rPr>
      <t>=$C$9*D6/$D$9</t>
    </r>
  </si>
  <si>
    <r>
      <rPr>
        <sz val="11"/>
        <color theme="1"/>
        <rFont val="Calibri"/>
        <family val="2"/>
        <scheme val="minor"/>
      </rPr>
      <t xml:space="preserve">Formula in cell C16: </t>
    </r>
    <r>
      <rPr>
        <b/>
        <sz val="11"/>
        <color theme="1"/>
        <rFont val="Calibri"/>
        <family val="2"/>
        <scheme val="minor"/>
      </rPr>
      <t>=$C$9*D7/$D$9</t>
    </r>
  </si>
  <si>
    <r>
      <rPr>
        <sz val="11"/>
        <color theme="1"/>
        <rFont val="Calibri"/>
        <family val="2"/>
        <scheme val="minor"/>
      </rPr>
      <t xml:space="preserve">Formula in cell C17: </t>
    </r>
    <r>
      <rPr>
        <b/>
        <sz val="11"/>
        <color theme="1"/>
        <rFont val="Calibri"/>
        <family val="2"/>
        <scheme val="minor"/>
      </rPr>
      <t>=$C$9*D8/$D$9</t>
    </r>
  </si>
  <si>
    <r>
      <t xml:space="preserve">Formula in cell B25: </t>
    </r>
    <r>
      <rPr>
        <b/>
        <sz val="11"/>
        <color theme="1"/>
        <rFont val="Calibri"/>
        <family val="2"/>
        <scheme val="minor"/>
      </rPr>
      <t>=((B8-B17)^2)/B17</t>
    </r>
  </si>
  <si>
    <r>
      <t xml:space="preserve">Formula in cell C25: </t>
    </r>
    <r>
      <rPr>
        <b/>
        <sz val="11"/>
        <color theme="1"/>
        <rFont val="Calibri"/>
        <family val="2"/>
        <scheme val="minor"/>
      </rPr>
      <t>=((C8-C17)^2)/C17</t>
    </r>
  </si>
  <si>
    <t>Observed Frequencies</t>
  </si>
  <si>
    <t>Expected Frequencies</t>
  </si>
  <si>
    <t>Chi-Square Critical Value</t>
  </si>
  <si>
    <r>
      <t xml:space="preserve">Formula in cell B27: </t>
    </r>
    <r>
      <rPr>
        <b/>
        <sz val="11"/>
        <color theme="1"/>
        <rFont val="Calibri"/>
        <family val="2"/>
        <scheme val="minor"/>
      </rPr>
      <t>=SUM(B21:C25)</t>
    </r>
  </si>
  <si>
    <r>
      <rPr>
        <sz val="11"/>
        <color theme="1"/>
        <rFont val="Calibri"/>
        <family val="2"/>
        <scheme val="minor"/>
      </rPr>
      <t>Formula in cell D27:</t>
    </r>
    <r>
      <rPr>
        <b/>
        <sz val="11"/>
        <color theme="1"/>
        <rFont val="Calibri"/>
        <family val="2"/>
        <scheme val="minor"/>
      </rPr>
      <t xml:space="preserve"> =(5-1)*(2-1)</t>
    </r>
  </si>
  <si>
    <t>Week 1</t>
  </si>
  <si>
    <t>Week 2</t>
  </si>
  <si>
    <t>Week 3</t>
  </si>
  <si>
    <t>Week 4</t>
  </si>
  <si>
    <t>Week 5</t>
  </si>
  <si>
    <t>History Session: Number Of Students</t>
  </si>
  <si>
    <t>Exceeding Expectations</t>
  </si>
  <si>
    <t>Partial Performance</t>
  </si>
  <si>
    <t>Average</t>
  </si>
  <si>
    <t>Poor</t>
  </si>
  <si>
    <r>
      <rPr>
        <sz val="11"/>
        <color theme="1"/>
        <rFont val="Calibri"/>
        <family val="2"/>
        <scheme val="minor"/>
      </rPr>
      <t>Formula in cell D28:</t>
    </r>
    <r>
      <rPr>
        <b/>
        <sz val="11"/>
        <color theme="1"/>
        <rFont val="Calibri"/>
        <family val="2"/>
        <scheme val="minor"/>
      </rPr>
      <t xml:space="preserve"> =CHISQ.TEST(B4:C8,B13:C17)</t>
    </r>
  </si>
  <si>
    <r>
      <t xml:space="preserve">Formula in cell B28: </t>
    </r>
    <r>
      <rPr>
        <b/>
        <sz val="11"/>
        <color theme="1"/>
        <rFont val="Calibri"/>
        <family val="2"/>
        <scheme val="minor"/>
      </rPr>
      <t>=CHISQ.INV.RT(0.05,D27)</t>
    </r>
  </si>
  <si>
    <t>Sales Rating</t>
  </si>
  <si>
    <t>Third-party Product Quality</t>
  </si>
  <si>
    <r>
      <t>Chi-Square (</t>
    </r>
    <r>
      <rPr>
        <b/>
        <sz val="11"/>
        <color theme="0"/>
        <rFont val="Calibri"/>
        <family val="2"/>
      </rPr>
      <t>χ</t>
    </r>
    <r>
      <rPr>
        <b/>
        <vertAlign val="superscript"/>
        <sz val="11"/>
        <color theme="0"/>
        <rFont val="Calibri"/>
        <family val="2"/>
        <scheme val="minor"/>
      </rPr>
      <t>2</t>
    </r>
    <r>
      <rPr>
        <b/>
        <sz val="11"/>
        <color theme="0"/>
        <rFont val="Calibri"/>
        <family val="2"/>
        <scheme val="minor"/>
      </rPr>
      <t>)</t>
    </r>
  </si>
  <si>
    <r>
      <rPr>
        <b/>
        <sz val="11"/>
        <color theme="0"/>
        <rFont val="Calibri"/>
        <family val="2"/>
      </rPr>
      <t>χ</t>
    </r>
    <r>
      <rPr>
        <b/>
        <vertAlign val="superscript"/>
        <sz val="11"/>
        <color theme="0"/>
        <rFont val="Calibri"/>
        <family val="2"/>
      </rPr>
      <t>2</t>
    </r>
    <r>
      <rPr>
        <b/>
        <sz val="11"/>
        <color theme="0"/>
        <rFont val="Calibri"/>
        <family val="2"/>
      </rPr>
      <t xml:space="preserve"> </t>
    </r>
    <r>
      <rPr>
        <b/>
        <sz val="11"/>
        <color theme="0"/>
        <rFont val="Calibri"/>
        <family val="2"/>
        <scheme val="minor"/>
      </rPr>
      <t>Statistic</t>
    </r>
  </si>
  <si>
    <t>Product Units Sold Per Month</t>
  </si>
  <si>
    <t>Even Value (TRUE/FALSE)</t>
  </si>
  <si>
    <t>Integer</t>
  </si>
  <si>
    <t>Date representation of the serial number 44867</t>
  </si>
  <si>
    <t>Decimal Value</t>
  </si>
  <si>
    <t>Negative Integer</t>
  </si>
  <si>
    <t>Scientific Notation Of Integer Value 50</t>
  </si>
  <si>
    <t>Day 1 Stock</t>
  </si>
  <si>
    <t>Day 2 Stock</t>
  </si>
  <si>
    <t>Day 3 Stock</t>
  </si>
  <si>
    <t>Day 5 Stock</t>
  </si>
  <si>
    <t>Day 4 Stock</t>
  </si>
  <si>
    <t>Packing Total Stock In Units Of 2 Feasible (TRUE/FALSE)</t>
  </si>
  <si>
    <t>Team (A/B) [Team A- Even Employee ID, Team B- Odd Employee ID]</t>
  </si>
  <si>
    <t>Elsa Larson</t>
  </si>
  <si>
    <t>Cora Mckinney</t>
  </si>
  <si>
    <t>Barbara Lane</t>
  </si>
  <si>
    <t>Harriet King</t>
  </si>
  <si>
    <t>Lloyd Paul</t>
  </si>
  <si>
    <t>Antonia Mcdonald</t>
  </si>
  <si>
    <t>Glenn Bowen</t>
  </si>
  <si>
    <t>Gabriel Hardy</t>
  </si>
  <si>
    <t>Cassandra Bowers</t>
  </si>
  <si>
    <t>John Adams</t>
  </si>
  <si>
    <t>Google Pixel 6a</t>
  </si>
  <si>
    <t>Pixel 7 Pro</t>
  </si>
  <si>
    <t>Top Laptop And Smartphone Models In The US</t>
  </si>
  <si>
    <t>Formula In Column B</t>
  </si>
  <si>
    <r>
      <t xml:space="preserve">Formula in cell B2: </t>
    </r>
    <r>
      <rPr>
        <b/>
        <sz val="11"/>
        <color theme="1"/>
        <rFont val="Calibri"/>
        <family val="2"/>
        <scheme val="minor"/>
      </rPr>
      <t>=ISEVEN(A2)</t>
    </r>
  </si>
  <si>
    <r>
      <t xml:space="preserve">Formula in cell B3: </t>
    </r>
    <r>
      <rPr>
        <b/>
        <sz val="11"/>
        <color theme="1"/>
        <rFont val="Calibri"/>
        <family val="2"/>
        <scheme val="minor"/>
      </rPr>
      <t>=ISEVEN(A3)</t>
    </r>
  </si>
  <si>
    <r>
      <t xml:space="preserve">Formula in cell B4: </t>
    </r>
    <r>
      <rPr>
        <b/>
        <sz val="11"/>
        <color theme="1"/>
        <rFont val="Calibri"/>
        <family val="2"/>
        <scheme val="minor"/>
      </rPr>
      <t>=ISEVEN(A4)</t>
    </r>
  </si>
  <si>
    <r>
      <t xml:space="preserve">Formula in cell B5: </t>
    </r>
    <r>
      <rPr>
        <b/>
        <sz val="11"/>
        <color theme="1"/>
        <rFont val="Calibri"/>
        <family val="2"/>
        <scheme val="minor"/>
      </rPr>
      <t>=ISEVEN(A5)</t>
    </r>
  </si>
  <si>
    <r>
      <t xml:space="preserve">Formula in cell B6: </t>
    </r>
    <r>
      <rPr>
        <b/>
        <sz val="11"/>
        <color theme="1"/>
        <rFont val="Calibri"/>
        <family val="2"/>
        <scheme val="minor"/>
      </rPr>
      <t>=ISEVEN(A6)</t>
    </r>
  </si>
  <si>
    <r>
      <t xml:space="preserve">Formula in cell B7: </t>
    </r>
    <r>
      <rPr>
        <b/>
        <sz val="11"/>
        <color theme="1"/>
        <rFont val="Calibri"/>
        <family val="2"/>
        <scheme val="minor"/>
      </rPr>
      <t>=ISEVEN(A7)</t>
    </r>
  </si>
  <si>
    <t>Odd Value (TRUE/FALSE)</t>
  </si>
  <si>
    <r>
      <t xml:space="preserve">Formula in cell B2: </t>
    </r>
    <r>
      <rPr>
        <b/>
        <sz val="11"/>
        <color theme="1"/>
        <rFont val="Calibri"/>
        <family val="2"/>
        <scheme val="minor"/>
      </rPr>
      <t>=ISODD(A2)</t>
    </r>
  </si>
  <si>
    <r>
      <t xml:space="preserve">Formula in cell B3: </t>
    </r>
    <r>
      <rPr>
        <b/>
        <sz val="11"/>
        <color theme="1"/>
        <rFont val="Calibri"/>
        <family val="2"/>
        <scheme val="minor"/>
      </rPr>
      <t>=ISODD(A3)</t>
    </r>
  </si>
  <si>
    <r>
      <t xml:space="preserve">Formula in cell B4: </t>
    </r>
    <r>
      <rPr>
        <b/>
        <sz val="11"/>
        <color theme="1"/>
        <rFont val="Calibri"/>
        <family val="2"/>
        <scheme val="minor"/>
      </rPr>
      <t>=ISODD(A4)</t>
    </r>
  </si>
  <si>
    <r>
      <t xml:space="preserve">Formula in cell B5: </t>
    </r>
    <r>
      <rPr>
        <b/>
        <sz val="11"/>
        <color theme="1"/>
        <rFont val="Calibri"/>
        <family val="2"/>
        <scheme val="minor"/>
      </rPr>
      <t>=ISODD(A5)</t>
    </r>
  </si>
  <si>
    <r>
      <t xml:space="preserve">Formula in cell B6: </t>
    </r>
    <r>
      <rPr>
        <b/>
        <sz val="11"/>
        <color theme="1"/>
        <rFont val="Calibri"/>
        <family val="2"/>
        <scheme val="minor"/>
      </rPr>
      <t>=ISODD(A6)</t>
    </r>
  </si>
  <si>
    <r>
      <t xml:space="preserve">Formula in cell B7: </t>
    </r>
    <r>
      <rPr>
        <b/>
        <sz val="11"/>
        <color theme="1"/>
        <rFont val="Calibri"/>
        <family val="2"/>
        <scheme val="minor"/>
      </rPr>
      <t>=ISODD(A7)</t>
    </r>
  </si>
  <si>
    <t>Positive Integer</t>
  </si>
  <si>
    <t>Date Representation Of Serial Number 44897</t>
  </si>
  <si>
    <t>Empty Cell</t>
  </si>
  <si>
    <t>Scientific Notation Of Integer Value 2450502</t>
  </si>
  <si>
    <t>Supplier 1- Units</t>
  </si>
  <si>
    <t>Supplier 2- Units</t>
  </si>
  <si>
    <t>Supplier 3- Units</t>
  </si>
  <si>
    <t>Supplier 4- Units</t>
  </si>
  <si>
    <t>Odd Number Of 100 Units' Boxes Required (TRUE/FALSE)</t>
  </si>
  <si>
    <t>Number Mod 2- Odd or Even Remainder</t>
  </si>
  <si>
    <t>Dealer A</t>
  </si>
  <si>
    <t>Dealer B</t>
  </si>
  <si>
    <t>Dealer C</t>
  </si>
  <si>
    <t>Dealer D</t>
  </si>
  <si>
    <t>Dealer E</t>
  </si>
  <si>
    <t>Microsoft Surface Laptop 5 (13.5-inch)</t>
  </si>
  <si>
    <t>April- Units Delivered</t>
  </si>
  <si>
    <t>Razer Book 13</t>
  </si>
  <si>
    <t>Asus Zenbook S 13 OLED</t>
  </si>
  <si>
    <t>Lenovo Chromebook Duet 3</t>
  </si>
  <si>
    <t>Amount in $</t>
  </si>
  <si>
    <t>Initial Cost Of A Venture</t>
  </si>
  <si>
    <t>Year 1- Net Income</t>
  </si>
  <si>
    <t>Year 2- Net Income</t>
  </si>
  <si>
    <t>Year 3- Net Income</t>
  </si>
  <si>
    <t>Year 5- Net Income</t>
  </si>
  <si>
    <t>Year 4- Net Income</t>
  </si>
  <si>
    <t>Internal Rate Of Return After Five Years</t>
  </si>
  <si>
    <t>Year 6- Net Income</t>
  </si>
  <si>
    <t>Internal Rate Of Return After Six Years</t>
  </si>
  <si>
    <t xml:space="preserve"> After Two Years</t>
  </si>
  <si>
    <t>Internal Rate Of Return</t>
  </si>
  <si>
    <t>Value In %</t>
  </si>
  <si>
    <t>After Three Years</t>
  </si>
  <si>
    <t>After Four Years</t>
  </si>
  <si>
    <t>After Five Years</t>
  </si>
  <si>
    <t>After Six Years</t>
  </si>
  <si>
    <t xml:space="preserve"> After One Year</t>
  </si>
  <si>
    <t>Project A</t>
  </si>
  <si>
    <t>Project B</t>
  </si>
  <si>
    <t>Project C</t>
  </si>
  <si>
    <t>Project-wise IRR After Five Years</t>
  </si>
  <si>
    <t>IRR After Fourth Quarter</t>
  </si>
  <si>
    <t>Guess</t>
  </si>
  <si>
    <t>Quarter 1- Earnings</t>
  </si>
  <si>
    <t>Quarter 2- Earnings</t>
  </si>
  <si>
    <t>Quarter 3- Earnings</t>
  </si>
  <si>
    <t>Quarter 4- Earnings</t>
  </si>
  <si>
    <t>Jan-2021- Income</t>
  </si>
  <si>
    <t>Feb-2021- Income</t>
  </si>
  <si>
    <t>Mar-2021- Income</t>
  </si>
  <si>
    <t>Apr-2021- Income</t>
  </si>
  <si>
    <t>May-2021- Income</t>
  </si>
  <si>
    <t>IRR After May-2021</t>
  </si>
  <si>
    <t>Formula Output</t>
  </si>
  <si>
    <t>Command Description</t>
  </si>
  <si>
    <t>(Value 1 - Value 2) + Value 2%</t>
  </si>
  <si>
    <t>(Value 1 - Value 2)/Value 2</t>
  </si>
  <si>
    <t>Value 1 - Value 2</t>
  </si>
  <si>
    <t>(Value 1 - Value 2) * (Value 2 - Value 1)</t>
  </si>
  <si>
    <r>
      <t xml:space="preserve">Formula in cell D2: </t>
    </r>
    <r>
      <rPr>
        <b/>
        <sz val="11"/>
        <color theme="1"/>
        <rFont val="Calibri"/>
        <family val="2"/>
        <scheme val="minor"/>
      </rPr>
      <t>=A2-B2</t>
    </r>
  </si>
  <si>
    <r>
      <t xml:space="preserve">Formula in cell D3: </t>
    </r>
    <r>
      <rPr>
        <b/>
        <sz val="11"/>
        <color theme="1"/>
        <rFont val="Calibri"/>
        <family val="2"/>
        <scheme val="minor"/>
      </rPr>
      <t>=(A3-B3)+(B3/100)</t>
    </r>
  </si>
  <si>
    <r>
      <t xml:space="preserve">Formula in cell D4: </t>
    </r>
    <r>
      <rPr>
        <b/>
        <sz val="11"/>
        <color theme="1"/>
        <rFont val="Calibri"/>
        <family val="2"/>
        <scheme val="minor"/>
      </rPr>
      <t>=(A4-B4)/B4</t>
    </r>
  </si>
  <si>
    <r>
      <t xml:space="preserve">Formula in cell D6: </t>
    </r>
    <r>
      <rPr>
        <b/>
        <sz val="11"/>
        <color theme="1"/>
        <rFont val="Calibri"/>
        <family val="2"/>
        <scheme val="minor"/>
      </rPr>
      <t>=(A6-B6)*(B6-A6)</t>
    </r>
  </si>
  <si>
    <t>Value 1 - Value 2 + Value 1</t>
  </si>
  <si>
    <r>
      <t xml:space="preserve">Formula in cell D5: </t>
    </r>
    <r>
      <rPr>
        <b/>
        <sz val="11"/>
        <color theme="1"/>
        <rFont val="Calibri"/>
        <family val="2"/>
        <scheme val="minor"/>
      </rPr>
      <t>=A5-B5+A5</t>
    </r>
  </si>
  <si>
    <t>Total Income in $</t>
  </si>
  <si>
    <t>Daily Calorie Intake</t>
  </si>
  <si>
    <t>Carbohydrates</t>
  </si>
  <si>
    <t>Protein</t>
  </si>
  <si>
    <t>Fat</t>
  </si>
  <si>
    <t>Value in Calories</t>
  </si>
  <si>
    <t>Total Daily Calorie Intake (Calories)</t>
  </si>
  <si>
    <t>Calorie Shortage (Calories)</t>
  </si>
  <si>
    <t>Daily Calorie- Required (Calories)</t>
  </si>
  <si>
    <t>Selling Price in $</t>
  </si>
  <si>
    <t>Item1</t>
  </si>
  <si>
    <t>Item2</t>
  </si>
  <si>
    <t>Item3</t>
  </si>
  <si>
    <t>Item4</t>
  </si>
  <si>
    <t>Item5</t>
  </si>
  <si>
    <t>Marked Price in $</t>
  </si>
  <si>
    <t>Discount Amount in $</t>
  </si>
  <si>
    <t>Holiday Offer-  Reduction Factor For Marked Price in $</t>
  </si>
  <si>
    <t>Revised Marked Price in $</t>
  </si>
  <si>
    <t>Difference (%)</t>
  </si>
  <si>
    <t>Percentage 2 (%)</t>
  </si>
  <si>
    <t>Percentage 1 (%)</t>
  </si>
  <si>
    <t>Grocery Purchase Amount in $</t>
  </si>
  <si>
    <t>Final Billing Amount in $</t>
  </si>
  <si>
    <t>Discount (%)</t>
  </si>
  <si>
    <t>Order Delivery- Duration</t>
  </si>
  <si>
    <t>Estimated Order Receive Date</t>
  </si>
  <si>
    <t>Order Dispatch Date</t>
  </si>
  <si>
    <t>Informed Revised Dispatch Date</t>
  </si>
  <si>
    <t>Order Receive Date</t>
  </si>
  <si>
    <t>Actual Order Receive Date</t>
  </si>
  <si>
    <t>Entry Time</t>
  </si>
  <si>
    <t>Exit Time</t>
  </si>
  <si>
    <t>Working Duration Clocked</t>
  </si>
  <si>
    <t>Matrix 1</t>
  </si>
  <si>
    <t>Matrix 2</t>
  </si>
  <si>
    <t>Resulting Matrix (Matrix 1 - Matrix 2)</t>
  </si>
  <si>
    <t>Text To Subtract</t>
  </si>
  <si>
    <t>Resulting Text</t>
  </si>
  <si>
    <t>Kevin Ford</t>
  </si>
  <si>
    <t>Ashley Baron</t>
  </si>
  <si>
    <t>Frank Goodworth</t>
  </si>
  <si>
    <t>ashley</t>
  </si>
  <si>
    <t>frank</t>
  </si>
  <si>
    <t>REED</t>
  </si>
  <si>
    <t>FORD</t>
  </si>
  <si>
    <t>Maryland</t>
  </si>
  <si>
    <t>Massachusetts</t>
  </si>
  <si>
    <t>Washington</t>
  </si>
  <si>
    <t>Richest US States</t>
  </si>
  <si>
    <t>New Hampshire</t>
  </si>
  <si>
    <t>Rhode Island</t>
  </si>
  <si>
    <t>US States With Highest Cost Of Living</t>
  </si>
  <si>
    <t>Richest State But Not With Highest Cost Of Living</t>
  </si>
  <si>
    <t>Monthly Salary in $</t>
  </si>
  <si>
    <t>House Rent</t>
  </si>
  <si>
    <t>Monthly Expenses</t>
  </si>
  <si>
    <t>Transport</t>
  </si>
  <si>
    <t>Electricity</t>
  </si>
  <si>
    <t>Food</t>
  </si>
  <si>
    <t>Miscellaneous</t>
  </si>
  <si>
    <t>Monthly Savings In $</t>
  </si>
  <si>
    <r>
      <t xml:space="preserve">Formula in cell D2: </t>
    </r>
    <r>
      <rPr>
        <b/>
        <sz val="11"/>
        <color theme="1"/>
        <rFont val="Calibri"/>
        <family val="2"/>
        <scheme val="minor"/>
      </rPr>
      <t>=A2/B2</t>
    </r>
  </si>
  <si>
    <r>
      <t xml:space="preserve">Formula in cell D3: </t>
    </r>
    <r>
      <rPr>
        <b/>
        <sz val="11"/>
        <color theme="1"/>
        <rFont val="Calibri"/>
        <family val="2"/>
        <scheme val="minor"/>
      </rPr>
      <t>=(A3+B3)/A3</t>
    </r>
  </si>
  <si>
    <r>
      <t xml:space="preserve">Formula in cell D4: </t>
    </r>
    <r>
      <rPr>
        <b/>
        <sz val="11"/>
        <color theme="1"/>
        <rFont val="Calibri"/>
        <family val="2"/>
        <scheme val="minor"/>
      </rPr>
      <t>=((1000/10)+(1000/10))*1000</t>
    </r>
  </si>
  <si>
    <t>Value 1 ÷ Value 2</t>
  </si>
  <si>
    <t>(Value 1 + Value 2) ÷ Value1</t>
  </si>
  <si>
    <t>((Value 1 ÷ Value 2) + (Value 1 ÷ Value 2)) * Value 1</t>
  </si>
  <si>
    <t>110 ÷ 4</t>
  </si>
  <si>
    <t>Value 1 ÷ 29</t>
  </si>
  <si>
    <t>Value 1 ÷ Value 2 ÷ Value 2</t>
  </si>
  <si>
    <t>Value 2 * (Value 1 ÷ (Value 2 + Value 2))</t>
  </si>
  <si>
    <r>
      <t>(Value 1 ÷ (Value 2*2))</t>
    </r>
    <r>
      <rPr>
        <vertAlign val="superscript"/>
        <sz val="11"/>
        <color theme="1"/>
        <rFont val="Calibri"/>
        <family val="2"/>
        <scheme val="minor"/>
      </rPr>
      <t>2</t>
    </r>
  </si>
  <si>
    <r>
      <t xml:space="preserve">Formula in cell D5: </t>
    </r>
    <r>
      <rPr>
        <b/>
        <sz val="11"/>
        <color theme="1"/>
        <rFont val="Calibri"/>
        <family val="2"/>
        <scheme val="minor"/>
      </rPr>
      <t>=(A5/(B5*2))^2</t>
    </r>
  </si>
  <si>
    <t>Division Result ('/')</t>
  </si>
  <si>
    <t>Division Result (QUOTIENT())</t>
  </si>
  <si>
    <r>
      <t xml:space="preserve">Formula in cell D3: </t>
    </r>
    <r>
      <rPr>
        <b/>
        <sz val="11"/>
        <color theme="1"/>
        <rFont val="Calibri"/>
        <family val="2"/>
        <scheme val="minor"/>
      </rPr>
      <t>=A3/B3</t>
    </r>
  </si>
  <si>
    <t>Per Day Salary in $</t>
  </si>
  <si>
    <t>Kelvin Lopez</t>
  </si>
  <si>
    <t>Bobbie Wells</t>
  </si>
  <si>
    <t>Mario Schneider</t>
  </si>
  <si>
    <t>Peter Morales</t>
  </si>
  <si>
    <t>Betty Ross</t>
  </si>
  <si>
    <t>Total Number Of Days Worked In A Month</t>
  </si>
  <si>
    <t>Total Units Delivered- Weekly</t>
  </si>
  <si>
    <t>Total Units Delivered- Daily</t>
  </si>
  <si>
    <t>Total Units Delivered- Daily (Divide By 7)</t>
  </si>
  <si>
    <t>Division Factor</t>
  </si>
  <si>
    <t>Numerator</t>
  </si>
  <si>
    <t>Denominator</t>
  </si>
  <si>
    <t>Division Result</t>
  </si>
  <si>
    <t>Stock</t>
  </si>
  <si>
    <t>Stock A</t>
  </si>
  <si>
    <t>Stock B</t>
  </si>
  <si>
    <t>Total Stock Price In $</t>
  </si>
  <si>
    <t>Per Unit Stock Price In $</t>
  </si>
  <si>
    <t>Total Stock Units Purchased</t>
  </si>
  <si>
    <t>Actual Cost In USD</t>
  </si>
  <si>
    <t>Cost Variation (%)</t>
  </si>
  <si>
    <t>Estimated Cost In USD</t>
  </si>
  <si>
    <t>Average Sales in $</t>
  </si>
  <si>
    <t>Company A- Sales In $</t>
  </si>
  <si>
    <t>Company B- Sales In $</t>
  </si>
  <si>
    <t>Company C- Sales In $</t>
  </si>
  <si>
    <t>Company D- Sales In $</t>
  </si>
  <si>
    <t>Company E- Sales In $</t>
  </si>
  <si>
    <t>anna.frank@gmail.com</t>
  </si>
  <si>
    <t>ATL-1045-L11</t>
  </si>
  <si>
    <t>Required Substring Description</t>
  </si>
  <si>
    <t>Extract the first name, Anna.</t>
  </si>
  <si>
    <t>Extract the double o's.</t>
  </si>
  <si>
    <t>Extract the last three letters, L11.</t>
  </si>
  <si>
    <t>Required Substring</t>
  </si>
  <si>
    <r>
      <t xml:space="preserve">Formula in Cell C2: </t>
    </r>
    <r>
      <rPr>
        <b/>
        <sz val="11"/>
        <color theme="1"/>
        <rFont val="Calibri"/>
        <family val="2"/>
        <scheme val="minor"/>
      </rPr>
      <t>=LEFT(A2,4)</t>
    </r>
  </si>
  <si>
    <r>
      <t xml:space="preserve">Formula in Cell C3: </t>
    </r>
    <r>
      <rPr>
        <b/>
        <sz val="11"/>
        <color theme="1"/>
        <rFont val="Calibri"/>
        <family val="2"/>
        <scheme val="minor"/>
      </rPr>
      <t>=RIGHT(A3,3)</t>
    </r>
  </si>
  <si>
    <r>
      <t xml:space="preserve">Formula in Cell C4: </t>
    </r>
    <r>
      <rPr>
        <b/>
        <sz val="11"/>
        <color theme="1"/>
        <rFont val="Calibri"/>
        <family val="2"/>
        <scheme val="minor"/>
      </rPr>
      <t>=MID(A4,2,2)</t>
    </r>
  </si>
  <si>
    <t>This is an example of substring in Excel.</t>
  </si>
  <si>
    <t>ABCL_2941</t>
  </si>
  <si>
    <t>3169 Cedar Street, Franklinville, North Carolina, 27248</t>
  </si>
  <si>
    <t>870-872-8517</t>
  </si>
  <si>
    <t>Ashley John</t>
  </si>
  <si>
    <t>Extract the $ symbol.</t>
  </si>
  <si>
    <t>Extract the first name.</t>
  </si>
  <si>
    <t>Extract the first four words from the text.</t>
  </si>
  <si>
    <t>Extract the month and day from the date.</t>
  </si>
  <si>
    <t>Extract the first four alphabets.</t>
  </si>
  <si>
    <t>Required Substring (LEFT())</t>
  </si>
  <si>
    <t>Required Substring (RIGHT())</t>
  </si>
  <si>
    <t>Required Substring (MID())</t>
  </si>
  <si>
    <t>Extract the last four words from the text.</t>
  </si>
  <si>
    <t>Extract the last four digits.</t>
  </si>
  <si>
    <t>Extract the last name.</t>
  </si>
  <si>
    <t>Extract the year.</t>
  </si>
  <si>
    <t>Extract the last three digit from the amount.</t>
  </si>
  <si>
    <t>Extract the underscore, '_'.</t>
  </si>
  <si>
    <t>Extract the town name, Franklinville.</t>
  </si>
  <si>
    <t>Extract the first two characters from the last name.</t>
  </si>
  <si>
    <t>Extract the day from the date.</t>
  </si>
  <si>
    <t>Extract the second- and third-last digits from the amount.</t>
  </si>
  <si>
    <t>Extract the word "of" from the text.</t>
  </si>
  <si>
    <t>Extract the street name, 3169 Cedar Street.</t>
  </si>
  <si>
    <t>Extract the area code from the phone number, 870.</t>
  </si>
  <si>
    <t>Extract the area Zip Code, 27248.</t>
  </si>
  <si>
    <t>Extract the 4-digit subscriber code from the phone number, 8517.</t>
  </si>
  <si>
    <t>Extract the 3-digit exchange code from the phone number, 872.</t>
  </si>
  <si>
    <t>Formulas In Cells C2:C8</t>
  </si>
  <si>
    <r>
      <t xml:space="preserve">Formula in cell C2: </t>
    </r>
    <r>
      <rPr>
        <b/>
        <sz val="11"/>
        <color theme="1"/>
        <rFont val="Calibri"/>
        <family val="2"/>
        <scheme val="minor"/>
      </rPr>
      <t>=LEFT(A2,18)</t>
    </r>
  </si>
  <si>
    <r>
      <t xml:space="preserve">Formula in cell C3: </t>
    </r>
    <r>
      <rPr>
        <b/>
        <sz val="11"/>
        <color theme="1"/>
        <rFont val="Calibri"/>
        <family val="2"/>
        <scheme val="minor"/>
      </rPr>
      <t>=LEFT(A3,4)</t>
    </r>
  </si>
  <si>
    <r>
      <t xml:space="preserve">Formula in cell C4: </t>
    </r>
    <r>
      <rPr>
        <b/>
        <sz val="11"/>
        <color theme="1"/>
        <rFont val="Calibri"/>
        <family val="2"/>
        <scheme val="minor"/>
      </rPr>
      <t>=LEFT(A4,17)</t>
    </r>
  </si>
  <si>
    <r>
      <t xml:space="preserve">Formula in cell C5: </t>
    </r>
    <r>
      <rPr>
        <b/>
        <sz val="11"/>
        <color theme="1"/>
        <rFont val="Calibri"/>
        <family val="2"/>
        <scheme val="minor"/>
      </rPr>
      <t>=LEFT(A5,3)</t>
    </r>
  </si>
  <si>
    <r>
      <t xml:space="preserve">Formula in cell C6: </t>
    </r>
    <r>
      <rPr>
        <b/>
        <sz val="11"/>
        <color theme="1"/>
        <rFont val="Calibri"/>
        <family val="2"/>
        <scheme val="minor"/>
      </rPr>
      <t>=LEFT(A6,6)</t>
    </r>
  </si>
  <si>
    <r>
      <t xml:space="preserve">Formula in cell C7: </t>
    </r>
    <r>
      <rPr>
        <b/>
        <sz val="11"/>
        <color theme="1"/>
        <rFont val="Calibri"/>
        <family val="2"/>
        <scheme val="minor"/>
      </rPr>
      <t>=LEFT("11/10/2022",5)</t>
    </r>
  </si>
  <si>
    <r>
      <t xml:space="preserve">Formula in cell C8: </t>
    </r>
    <r>
      <rPr>
        <b/>
        <sz val="11"/>
        <color theme="1"/>
        <rFont val="Calibri"/>
        <family val="2"/>
        <scheme val="minor"/>
      </rPr>
      <t>=LEFT("$50,000",1)</t>
    </r>
  </si>
  <si>
    <t>Formulas In Cells C11:C17</t>
  </si>
  <si>
    <r>
      <t xml:space="preserve">Formula in cell C11: </t>
    </r>
    <r>
      <rPr>
        <b/>
        <sz val="11"/>
        <color theme="1"/>
        <rFont val="Calibri"/>
        <family val="2"/>
        <scheme val="minor"/>
      </rPr>
      <t>=RIGHT(A11,22)</t>
    </r>
  </si>
  <si>
    <r>
      <t xml:space="preserve">Formula in cell C12: </t>
    </r>
    <r>
      <rPr>
        <b/>
        <sz val="11"/>
        <color theme="1"/>
        <rFont val="Calibri"/>
        <family val="2"/>
        <scheme val="minor"/>
      </rPr>
      <t>=RIGHT(A12,4)</t>
    </r>
  </si>
  <si>
    <r>
      <t xml:space="preserve">Formula in cell C13: </t>
    </r>
    <r>
      <rPr>
        <b/>
        <sz val="11"/>
        <color theme="1"/>
        <rFont val="Calibri"/>
        <family val="2"/>
        <scheme val="minor"/>
      </rPr>
      <t>=RIGHT(A13,5)</t>
    </r>
  </si>
  <si>
    <r>
      <t xml:space="preserve">Formula in cell C14: </t>
    </r>
    <r>
      <rPr>
        <b/>
        <sz val="11"/>
        <color theme="1"/>
        <rFont val="Calibri"/>
        <family val="2"/>
        <scheme val="minor"/>
      </rPr>
      <t>=RIGHT(A14,4)</t>
    </r>
  </si>
  <si>
    <r>
      <t xml:space="preserve">Formula in cell C15: </t>
    </r>
    <r>
      <rPr>
        <b/>
        <sz val="11"/>
        <color theme="1"/>
        <rFont val="Calibri"/>
        <family val="2"/>
        <scheme val="minor"/>
      </rPr>
      <t>=RIGHT(A15,4)</t>
    </r>
  </si>
  <si>
    <r>
      <t xml:space="preserve">Formula in cell C16: </t>
    </r>
    <r>
      <rPr>
        <b/>
        <sz val="11"/>
        <color theme="1"/>
        <rFont val="Calibri"/>
        <family val="2"/>
        <scheme val="minor"/>
      </rPr>
      <t>=RIGHT("11/10/2022",4)</t>
    </r>
  </si>
  <si>
    <r>
      <t xml:space="preserve">Formula in cell C17: </t>
    </r>
    <r>
      <rPr>
        <b/>
        <sz val="11"/>
        <color theme="1"/>
        <rFont val="Calibri"/>
        <family val="2"/>
        <scheme val="minor"/>
      </rPr>
      <t>=RIGHT(A17,3)</t>
    </r>
  </si>
  <si>
    <t>Formulas In Cells C20:C26</t>
  </si>
  <si>
    <r>
      <t xml:space="preserve">Formula in cell C20: </t>
    </r>
    <r>
      <rPr>
        <b/>
        <sz val="11"/>
        <color theme="1"/>
        <rFont val="Calibri"/>
        <family val="2"/>
        <scheme val="minor"/>
      </rPr>
      <t>=MID(A20,20,2)</t>
    </r>
  </si>
  <si>
    <r>
      <t xml:space="preserve">Formula in cell C21: </t>
    </r>
    <r>
      <rPr>
        <b/>
        <sz val="11"/>
        <color theme="1"/>
        <rFont val="Calibri"/>
        <family val="2"/>
        <scheme val="minor"/>
      </rPr>
      <t>=MID(A21,5,1)</t>
    </r>
  </si>
  <si>
    <r>
      <t xml:space="preserve">Formula in cell C22: </t>
    </r>
    <r>
      <rPr>
        <b/>
        <sz val="11"/>
        <color theme="1"/>
        <rFont val="Calibri"/>
        <family val="2"/>
        <scheme val="minor"/>
      </rPr>
      <t>=MID(A22,19,14)</t>
    </r>
  </si>
  <si>
    <r>
      <t xml:space="preserve">Formula in cell C23: </t>
    </r>
    <r>
      <rPr>
        <b/>
        <sz val="11"/>
        <color theme="1"/>
        <rFont val="Calibri"/>
        <family val="2"/>
        <scheme val="minor"/>
      </rPr>
      <t>=MID(A23,5,3)</t>
    </r>
  </si>
  <si>
    <r>
      <t xml:space="preserve">Formula in cell C24: </t>
    </r>
    <r>
      <rPr>
        <b/>
        <sz val="11"/>
        <color theme="1"/>
        <rFont val="Calibri"/>
        <family val="2"/>
        <scheme val="minor"/>
      </rPr>
      <t>=MID(A24,8,2)</t>
    </r>
  </si>
  <si>
    <r>
      <t xml:space="preserve">Formula in cell C25: </t>
    </r>
    <r>
      <rPr>
        <b/>
        <sz val="11"/>
        <color theme="1"/>
        <rFont val="Calibri"/>
        <family val="2"/>
        <scheme val="minor"/>
      </rPr>
      <t>=MID("11/10/2022",4,2)</t>
    </r>
  </si>
  <si>
    <t>Kevin Reed_1023</t>
  </si>
  <si>
    <t>kevin.reed@gmail.com_1023</t>
  </si>
  <si>
    <t>Kevin Reed (Team Lead)_1023</t>
  </si>
  <si>
    <r>
      <t>Substring Preceding '_</t>
    </r>
    <r>
      <rPr>
        <sz val="11"/>
        <color theme="0"/>
        <rFont val="Calibri"/>
        <family val="2"/>
        <scheme val="minor"/>
      </rPr>
      <t>'</t>
    </r>
  </si>
  <si>
    <t>Substring After ':'</t>
  </si>
  <si>
    <t>State: Wisconsin</t>
  </si>
  <si>
    <t>City: Green Bay</t>
  </si>
  <si>
    <t>Street: Pilgrim Way</t>
  </si>
  <si>
    <t>Final Substring After ':'</t>
  </si>
  <si>
    <t>Apple;Banana;Orange</t>
  </si>
  <si>
    <t>First and Second ';'</t>
  </si>
  <si>
    <t>Second and Fourth ';'</t>
  </si>
  <si>
    <t>Substring</t>
  </si>
  <si>
    <t>Apple;Watermelon;Banana;Orange;Pear</t>
  </si>
  <si>
    <t>FBJL_12GH_7EDBS</t>
  </si>
  <si>
    <t>ILDC_9321_12GH</t>
  </si>
  <si>
    <t>12gh_2443_KMCS</t>
  </si>
  <si>
    <t>Christopher Columbus</t>
  </si>
  <si>
    <t>Substring Preceding " "</t>
  </si>
  <si>
    <t>Case-sensitive Search For Substring "12GH"</t>
  </si>
  <si>
    <t>Requirement: Substring Between Specified Occurrences Of  ';'</t>
  </si>
  <si>
    <r>
      <t xml:space="preserve">Formula in cell C26: </t>
    </r>
    <r>
      <rPr>
        <b/>
        <sz val="11"/>
        <color theme="1"/>
        <rFont val="Calibri"/>
        <family val="2"/>
        <scheme val="minor"/>
      </rPr>
      <t>=MID(A26,3,2)</t>
    </r>
  </si>
  <si>
    <t>Case-insensitive Search For Substring "12GH"</t>
  </si>
  <si>
    <t>Converted Text To Number</t>
  </si>
  <si>
    <t>$3000</t>
  </si>
  <si>
    <t>550</t>
  </si>
  <si>
    <t>ABVB_2310</t>
  </si>
  <si>
    <t>108%</t>
  </si>
  <si>
    <r>
      <t xml:space="preserve">Formula in cell B2: </t>
    </r>
    <r>
      <rPr>
        <b/>
        <sz val="11"/>
        <color theme="1"/>
        <rFont val="Calibri"/>
        <family val="2"/>
        <scheme val="minor"/>
      </rPr>
      <t>=VALUE(A2)</t>
    </r>
  </si>
  <si>
    <r>
      <t xml:space="preserve">Formula in cell B3: </t>
    </r>
    <r>
      <rPr>
        <b/>
        <sz val="11"/>
        <color theme="1"/>
        <rFont val="Calibri"/>
        <family val="2"/>
        <scheme val="minor"/>
      </rPr>
      <t>=VALUE(A3)</t>
    </r>
  </si>
  <si>
    <r>
      <t xml:space="preserve">Formula in cell B4: </t>
    </r>
    <r>
      <rPr>
        <b/>
        <sz val="11"/>
        <color theme="1"/>
        <rFont val="Calibri"/>
        <family val="2"/>
        <scheme val="minor"/>
      </rPr>
      <t>=VALUE(RIGHT(A4,4))</t>
    </r>
  </si>
  <si>
    <r>
      <t xml:space="preserve">Formula in cell B5: </t>
    </r>
    <r>
      <rPr>
        <b/>
        <sz val="11"/>
        <color theme="1"/>
        <rFont val="Calibri"/>
        <family val="2"/>
        <scheme val="minor"/>
      </rPr>
      <t>=A5*1</t>
    </r>
  </si>
  <si>
    <r>
      <t xml:space="preserve">Formula in cell B6: </t>
    </r>
    <r>
      <rPr>
        <b/>
        <sz val="11"/>
        <color theme="1"/>
        <rFont val="Calibri"/>
        <family val="2"/>
        <scheme val="minor"/>
      </rPr>
      <t>=A6+0</t>
    </r>
  </si>
  <si>
    <t>Column B Cell Data Type</t>
  </si>
  <si>
    <t>General</t>
  </si>
  <si>
    <t>9200</t>
  </si>
  <si>
    <t>2/9/2022</t>
  </si>
  <si>
    <t>$8340</t>
  </si>
  <si>
    <t>Column A Cell Data Type</t>
  </si>
  <si>
    <t>Column C Cell Data Type</t>
  </si>
  <si>
    <t>Ricky Parsons</t>
  </si>
  <si>
    <t>Francis James</t>
  </si>
  <si>
    <t>Jaime Alvarado</t>
  </si>
  <si>
    <t>Oscar Harrington</t>
  </si>
  <si>
    <t>Floyd Lowe</t>
  </si>
  <si>
    <t>Faith Guerrero</t>
  </si>
  <si>
    <t>Shelia Kim</t>
  </si>
  <si>
    <t>Catherine Simon</t>
  </si>
  <si>
    <t>Byron Yates</t>
  </si>
  <si>
    <t>Tricia Higgins</t>
  </si>
  <si>
    <t>Total Monthly Income in $</t>
  </si>
  <si>
    <t>Total Half-yearly Income in $</t>
  </si>
  <si>
    <t>Error Correction Value</t>
  </si>
  <si>
    <t>VOLUME</t>
  </si>
  <si>
    <t>Aptevo Therapeutics Inc. (APVO)</t>
  </si>
  <si>
    <t>28.9M</t>
  </si>
  <si>
    <t>China Jo-Jo Drugstores Inc. (CJJD)</t>
  </si>
  <si>
    <t>2.7M</t>
  </si>
  <si>
    <t>ENDRA Life Sciences Inc. (NDRA)</t>
  </si>
  <si>
    <t>277.1K</t>
  </si>
  <si>
    <t>Coupa Software Inc. (COUP)</t>
  </si>
  <si>
    <t>15.3M</t>
  </si>
  <si>
    <t>BioVie Inc. (BIVI)</t>
  </si>
  <si>
    <t>2.3M</t>
  </si>
  <si>
    <t>Stock Movers</t>
  </si>
  <si>
    <t>Original String</t>
  </si>
  <si>
    <t>9:00:00 PM</t>
  </si>
  <si>
    <t>1345-GBDL</t>
  </si>
  <si>
    <t>$3,500</t>
  </si>
  <si>
    <t>60%</t>
  </si>
  <si>
    <t>1938</t>
  </si>
  <si>
    <t>28.9M_53.75</t>
  </si>
  <si>
    <t>2.7M_37.12</t>
  </si>
  <si>
    <t>277.1K_29.02</t>
  </si>
  <si>
    <t>15.3M_26.7</t>
  </si>
  <si>
    <t>2.3M_25.82</t>
  </si>
  <si>
    <t>VOLUME_%CHG</t>
  </si>
  <si>
    <t>%CHG</t>
  </si>
  <si>
    <t>2000</t>
  </si>
  <si>
    <t>$50</t>
  </si>
  <si>
    <t>Numeric Value- Data Type</t>
  </si>
  <si>
    <t>Estimated US Population</t>
  </si>
  <si>
    <t>Actual US Population</t>
  </si>
  <si>
    <r>
      <t xml:space="preserve">Formula in cell D2: </t>
    </r>
    <r>
      <rPr>
        <b/>
        <sz val="11"/>
        <color theme="1"/>
        <rFont val="Calibri"/>
        <family val="2"/>
        <scheme val="minor"/>
      </rPr>
      <t>=(C2-B2)/B2</t>
    </r>
  </si>
  <si>
    <r>
      <t xml:space="preserve">Formula in cell D3: </t>
    </r>
    <r>
      <rPr>
        <b/>
        <sz val="11"/>
        <color theme="1"/>
        <rFont val="Calibri"/>
        <family val="2"/>
        <scheme val="minor"/>
      </rPr>
      <t>=(C3-B3)/B3</t>
    </r>
  </si>
  <si>
    <r>
      <t xml:space="preserve">Formula in cell D4: </t>
    </r>
    <r>
      <rPr>
        <b/>
        <sz val="11"/>
        <color theme="1"/>
        <rFont val="Calibri"/>
        <family val="2"/>
        <scheme val="minor"/>
      </rPr>
      <t>=(C4-B4)/B4</t>
    </r>
  </si>
  <si>
    <r>
      <t xml:space="preserve">Formula in cell D5: </t>
    </r>
    <r>
      <rPr>
        <b/>
        <sz val="11"/>
        <color theme="1"/>
        <rFont val="Calibri"/>
        <family val="2"/>
        <scheme val="minor"/>
      </rPr>
      <t>=(C5-B5)/B5</t>
    </r>
  </si>
  <si>
    <r>
      <t xml:space="preserve">Formula in cell D6: </t>
    </r>
    <r>
      <rPr>
        <b/>
        <sz val="11"/>
        <color theme="1"/>
        <rFont val="Calibri"/>
        <family val="2"/>
        <scheme val="minor"/>
      </rPr>
      <t>=(C6-B6)/B6</t>
    </r>
  </si>
  <si>
    <t>Athlete 1</t>
  </si>
  <si>
    <t>Athlete 2</t>
  </si>
  <si>
    <t>Athlete 3</t>
  </si>
  <si>
    <t>Athlete 4</t>
  </si>
  <si>
    <t>Athlete 5</t>
  </si>
  <si>
    <t>Athlete 6</t>
  </si>
  <si>
    <t>Athlete 7</t>
  </si>
  <si>
    <t>Athlete 8</t>
  </si>
  <si>
    <t>Athlete 9</t>
  </si>
  <si>
    <t>Athlete 10</t>
  </si>
  <si>
    <t>Running Race 1- 
Lap Time In seconds (Initial_Value)</t>
  </si>
  <si>
    <t>Running Race 2- 
Lap Time In seconds (New_Value)</t>
  </si>
  <si>
    <t>2022- New Price In $</t>
  </si>
  <si>
    <t>2021- Price In $</t>
  </si>
  <si>
    <t>Estimated Precipitation In inches</t>
  </si>
  <si>
    <t>Actual Precipitation In inches</t>
  </si>
  <si>
    <t>List Price in $</t>
  </si>
  <si>
    <t>Discount %</t>
  </si>
  <si>
    <t>Discounted Price in $</t>
  </si>
  <si>
    <t>Scenario</t>
  </si>
  <si>
    <t>Value Changes From 0 to 100</t>
  </si>
  <si>
    <t>Value Changes From 100 to 0</t>
  </si>
  <si>
    <t>Initial Value</t>
  </si>
  <si>
    <t>Final Value</t>
  </si>
  <si>
    <t>Percent Change ((Final Value - Initial Value)/Initial Value)</t>
  </si>
  <si>
    <t>Estimated Test Result</t>
  </si>
  <si>
    <t>Percentage Change (%)</t>
  </si>
  <si>
    <t>Actual Test Result</t>
  </si>
  <si>
    <t xml:space="preserve">Stock </t>
  </si>
  <si>
    <t>Initial Price in $</t>
  </si>
  <si>
    <t>New Price in $</t>
  </si>
  <si>
    <t>Percentage Change In Stock Price (%)</t>
  </si>
  <si>
    <t>Stock C</t>
  </si>
  <si>
    <t>Percentage Change In US Population (%)</t>
  </si>
  <si>
    <t>Percentage Increase/Decrease In %
((New_Value  –  Initial_Value) / Initial_Value)</t>
  </si>
  <si>
    <t>Percentage Increase/Decrease In %
(New_Value / Initial_Value – 1)</t>
  </si>
  <si>
    <t>2022- Percentage Variation In Price (%)</t>
  </si>
  <si>
    <t>Percent Change In Precipitation (%)</t>
  </si>
  <si>
    <t>Percent Change In Precipitation Absolute Value (%)</t>
  </si>
  <si>
    <t>Actual Percent Change (%)</t>
  </si>
  <si>
    <t>Estimated Sales in $</t>
  </si>
  <si>
    <t>Actual Sales in $</t>
  </si>
  <si>
    <t>Percentage Change In Sales (%)</t>
  </si>
  <si>
    <t>Tuesday, November 1, 2022</t>
  </si>
  <si>
    <t>Formula In Column D</t>
  </si>
  <si>
    <r>
      <t xml:space="preserve">Formula in cell D5: </t>
    </r>
    <r>
      <rPr>
        <b/>
        <sz val="11"/>
        <color theme="1"/>
        <rFont val="Calibri"/>
        <family val="2"/>
        <scheme val="minor"/>
      </rPr>
      <t>=ODD(A5:B5)</t>
    </r>
  </si>
  <si>
    <t>Find the difference between the two values.</t>
  </si>
  <si>
    <t>Divide the two values.</t>
  </si>
  <si>
    <t>Get the next odd integer after rounding the given Value 1 up.</t>
  </si>
  <si>
    <t>Milk (regular), (1 liter)</t>
  </si>
  <si>
    <t>Loaf of Fresh White Bread (500g)</t>
  </si>
  <si>
    <t>Rice (white), (1kg)</t>
  </si>
  <si>
    <t>Eggs (regular) (12)</t>
  </si>
  <si>
    <t>Local Cheese (1kg)</t>
  </si>
  <si>
    <t>No Data</t>
  </si>
  <si>
    <t>Start_Num</t>
  </si>
  <si>
    <t>Num_Chars</t>
  </si>
  <si>
    <t>MID() Output</t>
  </si>
  <si>
    <t>This is an example of the #VALUE! error in Excel.</t>
  </si>
  <si>
    <r>
      <t>4</t>
    </r>
    <r>
      <rPr>
        <vertAlign val="superscript"/>
        <sz val="11"/>
        <color theme="1"/>
        <rFont val="Calibri"/>
        <family val="2"/>
        <scheme val="minor"/>
      </rPr>
      <t>th</t>
    </r>
    <r>
      <rPr>
        <sz val="11"/>
        <color theme="1"/>
        <rFont val="Calibri"/>
        <family val="2"/>
        <scheme val="minor"/>
      </rPr>
      <t xml:space="preserve"> July, 2022</t>
    </r>
  </si>
  <si>
    <t>Total Working Days</t>
  </si>
  <si>
    <r>
      <t xml:space="preserve">Formula in cell D2: </t>
    </r>
    <r>
      <rPr>
        <b/>
        <sz val="11"/>
        <color theme="1"/>
        <rFont val="Calibri"/>
        <family val="2"/>
        <scheme val="minor"/>
      </rPr>
      <t>=NETWORKDAYS(A2,B2,C2)</t>
    </r>
  </si>
  <si>
    <t>Start Date + 1</t>
  </si>
  <si>
    <t>End Date + 1</t>
  </si>
  <si>
    <t>Holiday + 1</t>
  </si>
  <si>
    <t>BND_913</t>
  </si>
  <si>
    <t>HNM_100</t>
  </si>
  <si>
    <t>JKI_144</t>
  </si>
  <si>
    <t>FLD_530</t>
  </si>
  <si>
    <t>GVS_603</t>
  </si>
  <si>
    <t>IFERROR() Output</t>
  </si>
  <si>
    <t>IF() Output</t>
  </si>
  <si>
    <t>b3</t>
  </si>
  <si>
    <t>n_23</t>
  </si>
  <si>
    <r>
      <t xml:space="preserve">Formula in cell D4: </t>
    </r>
    <r>
      <rPr>
        <b/>
        <sz val="11"/>
        <color theme="1"/>
        <rFont val="Calibri"/>
        <family val="2"/>
        <scheme val="minor"/>
      </rPr>
      <t>=A4/B4</t>
    </r>
  </si>
  <si>
    <t xml:space="preserve">   </t>
  </si>
  <si>
    <t>Project Start Date</t>
  </si>
  <si>
    <t>Project End Date</t>
  </si>
  <si>
    <t>Project Duration</t>
  </si>
  <si>
    <t>Get the serial number that represents the date that is the indicated number of months after a specified date.</t>
  </si>
  <si>
    <r>
      <t xml:space="preserve">Formula in cell D2: </t>
    </r>
    <r>
      <rPr>
        <b/>
        <sz val="11"/>
        <color theme="1"/>
        <rFont val="Calibri"/>
        <family val="2"/>
        <scheme val="minor"/>
      </rPr>
      <t>=A2+B2</t>
    </r>
  </si>
  <si>
    <t>Plant Type 1 Height in feet</t>
  </si>
  <si>
    <t>Plant Type 2 Height in feet</t>
  </si>
  <si>
    <t>T-Test Value</t>
  </si>
  <si>
    <t>Sales Team A Target In Thousand USD</t>
  </si>
  <si>
    <t>Sales Team B Target In Thousand USD</t>
  </si>
  <si>
    <t>t-Test: Two-Sample Assuming Equal Variances</t>
  </si>
  <si>
    <t>Pooled Variance</t>
  </si>
  <si>
    <t>Hypothesized Mean Difference</t>
  </si>
  <si>
    <t>t Stat</t>
  </si>
  <si>
    <t>P(T&lt;=t) one-tail</t>
  </si>
  <si>
    <t>t Critical one-tail</t>
  </si>
  <si>
    <t>P(T&lt;=t) two-tail</t>
  </si>
  <si>
    <t>t Critical two-tail</t>
  </si>
  <si>
    <t>One-tailed T-distribution Probability Percentage (%)</t>
  </si>
  <si>
    <t>One-sample T-Test</t>
  </si>
  <si>
    <t>µ</t>
  </si>
  <si>
    <t>Sample Mean</t>
  </si>
  <si>
    <t>Sample Data</t>
  </si>
  <si>
    <t>Sample Standard Deviation</t>
  </si>
  <si>
    <t>Total Data Points</t>
  </si>
  <si>
    <t xml:space="preserve">Degree Of Freedom </t>
  </si>
  <si>
    <t>Hypothesized Mean (°F)</t>
  </si>
  <si>
    <t xml:space="preserve">t-statistic </t>
  </si>
  <si>
    <t>Probability</t>
  </si>
  <si>
    <r>
      <t>x</t>
    </r>
    <r>
      <rPr>
        <sz val="11"/>
        <color theme="1"/>
        <rFont val="Calibri"/>
        <family val="2"/>
      </rPr>
      <t>̅</t>
    </r>
  </si>
  <si>
    <t>High Temperature in °F</t>
  </si>
  <si>
    <t>Standard Error In Mean (SEM)</t>
  </si>
  <si>
    <r>
      <t>s</t>
    </r>
    <r>
      <rPr>
        <vertAlign val="subscript"/>
        <sz val="11"/>
        <color theme="1"/>
        <rFont val="Calibri"/>
        <family val="2"/>
        <scheme val="minor"/>
      </rPr>
      <t>x</t>
    </r>
    <r>
      <rPr>
        <vertAlign val="subscript"/>
        <sz val="11"/>
        <color theme="1"/>
        <rFont val="Calibri"/>
        <family val="2"/>
      </rPr>
      <t>̅</t>
    </r>
  </si>
  <si>
    <t>Two-tailed T-Test Value</t>
  </si>
  <si>
    <t>Per-day Calorie Intake_Group A_Before (kcal/d)</t>
  </si>
  <si>
    <t>Per-day Calorie Intake_Group A_After (kcal/d)</t>
  </si>
  <si>
    <t>Setting</t>
  </si>
  <si>
    <t>Orientation</t>
  </si>
  <si>
    <t>Landscape</t>
  </si>
  <si>
    <t>Page Size</t>
  </si>
  <si>
    <t>A4</t>
  </si>
  <si>
    <t>Print Quality</t>
  </si>
  <si>
    <t>Page Setup Parameter</t>
  </si>
  <si>
    <t>Annual Salary in USD</t>
  </si>
  <si>
    <t>Wilson Curtis</t>
  </si>
  <si>
    <t>Jody Brady</t>
  </si>
  <si>
    <t>Bobbie Burgess</t>
  </si>
  <si>
    <t>Sue Collier</t>
  </si>
  <si>
    <t>Gerardo Foster</t>
  </si>
  <si>
    <t>Andrew Stokes</t>
  </si>
  <si>
    <t>Renee Mullins</t>
  </si>
  <si>
    <t>Luz Shelton</t>
  </si>
  <si>
    <t>Brandy Vega</t>
  </si>
  <si>
    <t>Maggie Austin</t>
  </si>
  <si>
    <t>Delivery Manager</t>
  </si>
  <si>
    <t>Competency Manager</t>
  </si>
  <si>
    <t>Scaling</t>
  </si>
  <si>
    <t>Fit to 1 page wide by 1 tall</t>
  </si>
  <si>
    <t>Paper Size</t>
  </si>
  <si>
    <t>Center On Page</t>
  </si>
  <si>
    <t>Horizontally and Vertically</t>
  </si>
  <si>
    <t>Status</t>
  </si>
  <si>
    <t>HVN_1342</t>
  </si>
  <si>
    <t>GLJ_9408</t>
  </si>
  <si>
    <t>DCB_8305</t>
  </si>
  <si>
    <t>BSX_1279</t>
  </si>
  <si>
    <t>SBS_9308</t>
  </si>
  <si>
    <t>Delivered</t>
  </si>
  <si>
    <t>Pending</t>
  </si>
  <si>
    <t>Total Sales Target in $</t>
  </si>
  <si>
    <t>Dianne Armstrong</t>
  </si>
  <si>
    <t>Rick Summers</t>
  </si>
  <si>
    <t>Gloria Roberts</t>
  </si>
  <si>
    <t>Renee Carson</t>
  </si>
  <si>
    <t>Winston Richardson</t>
  </si>
  <si>
    <t>Rex Shaw</t>
  </si>
  <si>
    <t>Charlie Garner</t>
  </si>
  <si>
    <t>Roderick Curry</t>
  </si>
  <si>
    <t>Felicia Holloway</t>
  </si>
  <si>
    <t>Ramiro West</t>
  </si>
  <si>
    <t>Jenna Hernandez</t>
  </si>
  <si>
    <t>Don Maldonado</t>
  </si>
  <si>
    <t>Cornelius Cook</t>
  </si>
  <si>
    <t>Luke Baldwin</t>
  </si>
  <si>
    <t>Eduardo Salazar</t>
  </si>
  <si>
    <t>Shelly Stephens</t>
  </si>
  <si>
    <t>Joan Reid</t>
  </si>
  <si>
    <t>Kurt Washington</t>
  </si>
  <si>
    <t>Kim Potter</t>
  </si>
  <si>
    <t>Lynda Evans</t>
  </si>
  <si>
    <t>Taylor Silva</t>
  </si>
  <si>
    <t>Angel Norris</t>
  </si>
  <si>
    <t>William Wilkins</t>
  </si>
  <si>
    <t>Jan- Sales Target in $</t>
  </si>
  <si>
    <t>Feb- Sales Target in $</t>
  </si>
  <si>
    <t>Mar- Sales Target in $</t>
  </si>
  <si>
    <t>Apr- Sales Target in $</t>
  </si>
  <si>
    <t>May- Sales Target in $</t>
  </si>
  <si>
    <t>Jun- Sales Target in $</t>
  </si>
  <si>
    <t>Jul- Sales Target in $</t>
  </si>
  <si>
    <t>Aug- Sales Target in $</t>
  </si>
  <si>
    <t>Sep- Sales Target in $</t>
  </si>
  <si>
    <t>Oct- Sales Target in $</t>
  </si>
  <si>
    <t>Nov- Sales Target in $</t>
  </si>
  <si>
    <t>Dec- Sales Target in $</t>
  </si>
  <si>
    <t>A3</t>
  </si>
  <si>
    <t>NYSE</t>
  </si>
  <si>
    <t>NASDAQ</t>
  </si>
  <si>
    <t>Issues</t>
  </si>
  <si>
    <t>Advancing</t>
  </si>
  <si>
    <t>Declining</t>
  </si>
  <si>
    <t>Unchanged</t>
  </si>
  <si>
    <t>Issues At</t>
  </si>
  <si>
    <t>New Highs</t>
  </si>
  <si>
    <t>New Lows</t>
  </si>
  <si>
    <t>Share Volume</t>
  </si>
  <si>
    <t>Markets Diary 10:00 AM EST 12/21/22</t>
  </si>
  <si>
    <t>Tue, Dec 20, 2022</t>
  </si>
  <si>
    <t>Mon, Dec 19, 2022</t>
  </si>
  <si>
    <t>Sun, Dec 18, 2022</t>
  </si>
  <si>
    <t>Sat, Dec 17, 2022</t>
  </si>
  <si>
    <t>Fri, Dec 16, 2022</t>
  </si>
  <si>
    <t>&lt;$0.01</t>
  </si>
  <si>
    <t>Thu, Dec 15, 2022</t>
  </si>
  <si>
    <t>Wed, Dec 14, 2022</t>
  </si>
  <si>
    <t>Ad Program</t>
  </si>
  <si>
    <t>&lt;$0.03</t>
  </si>
  <si>
    <t>The significance level required to calculate the confidence extent.</t>
  </si>
  <si>
    <t>Sample size</t>
  </si>
  <si>
    <t>Confidence Interval In Excel (CONFIDENCE())</t>
  </si>
  <si>
    <t>The population standard deviation for the given data range.</t>
  </si>
  <si>
    <t>alpha</t>
  </si>
  <si>
    <t>size</t>
  </si>
  <si>
    <t>Temperature in °F</t>
  </si>
  <si>
    <t>Confidence Value</t>
  </si>
  <si>
    <t>Sample Size</t>
  </si>
  <si>
    <t>Confidence Interval</t>
  </si>
  <si>
    <t>Texas- Average Monthly Temperature (°F)</t>
  </si>
  <si>
    <t>Texas- Confidence Interval Calculation</t>
  </si>
  <si>
    <t>Sample Mean (°F)</t>
  </si>
  <si>
    <t>Confidence value to determine confidence interval for the population mean.</t>
  </si>
  <si>
    <t>Confidence Interval In Excel</t>
  </si>
  <si>
    <t>CONFIDENCE()</t>
  </si>
  <si>
    <t>CONFIDENCE.NORM()</t>
  </si>
  <si>
    <t>CONFIDENCE.T()</t>
  </si>
  <si>
    <t>Test Score (Out Of 100)</t>
  </si>
  <si>
    <t>Largest(1)</t>
  </si>
  <si>
    <t>Smallest(1)</t>
  </si>
  <si>
    <t>Confidence Level(95.0%)</t>
  </si>
  <si>
    <t>Standard Error</t>
  </si>
  <si>
    <t>Median</t>
  </si>
  <si>
    <t>Mode</t>
  </si>
  <si>
    <t>Sample Variance</t>
  </si>
  <si>
    <t>Kurtosis</t>
  </si>
  <si>
    <t>Skewness</t>
  </si>
  <si>
    <t>Range</t>
  </si>
  <si>
    <t>Minimum</t>
  </si>
  <si>
    <t>Maximum</t>
  </si>
  <si>
    <t>Sum</t>
  </si>
  <si>
    <t>Formulas In Column I</t>
  </si>
  <si>
    <r>
      <t xml:space="preserve">Formula in cell I3: </t>
    </r>
    <r>
      <rPr>
        <b/>
        <sz val="11"/>
        <color theme="1"/>
        <rFont val="Calibri"/>
        <family val="2"/>
        <scheme val="minor"/>
      </rPr>
      <t>=AVERAGE(C2:C8)</t>
    </r>
  </si>
  <si>
    <r>
      <t xml:space="preserve">Formula in cell I4: </t>
    </r>
    <r>
      <rPr>
        <b/>
        <sz val="11"/>
        <color theme="1"/>
        <rFont val="Calibri"/>
        <family val="2"/>
        <scheme val="minor"/>
      </rPr>
      <t>0.05</t>
    </r>
  </si>
  <si>
    <r>
      <t xml:space="preserve">Formula in cell I5: </t>
    </r>
    <r>
      <rPr>
        <b/>
        <sz val="11"/>
        <color theme="1"/>
        <rFont val="Calibri"/>
        <family val="2"/>
        <scheme val="minor"/>
      </rPr>
      <t>=STDEV.S(C2:C8)</t>
    </r>
  </si>
  <si>
    <r>
      <t xml:space="preserve">Formula in cell I6: </t>
    </r>
    <r>
      <rPr>
        <b/>
        <sz val="11"/>
        <color theme="1"/>
        <rFont val="Calibri"/>
        <family val="2"/>
        <scheme val="minor"/>
      </rPr>
      <t>7</t>
    </r>
  </si>
  <si>
    <r>
      <t xml:space="preserve">Formula in cell I7: </t>
    </r>
    <r>
      <rPr>
        <b/>
        <sz val="11"/>
        <color theme="1"/>
        <rFont val="Calibri"/>
        <family val="2"/>
        <scheme val="minor"/>
      </rPr>
      <t>=CONFIDENCE.T(I4,I5,I6)</t>
    </r>
  </si>
  <si>
    <r>
      <t xml:space="preserve">Formula in cell I8: </t>
    </r>
    <r>
      <rPr>
        <b/>
        <sz val="11"/>
        <color theme="1"/>
        <rFont val="Calibri"/>
        <family val="2"/>
        <scheme val="minor"/>
      </rPr>
      <t>=CONCATENATE(ROUND(I3,2)," ± ",ROUND(I7,2))</t>
    </r>
  </si>
  <si>
    <t>Manual</t>
  </si>
  <si>
    <t>Confidence value</t>
  </si>
  <si>
    <t>Profit in USD</t>
  </si>
  <si>
    <t>Total Orders Delivered</t>
  </si>
  <si>
    <t>Interpolated Total Orders Delivered</t>
  </si>
  <si>
    <t>Interpolated Profit in USD</t>
  </si>
  <si>
    <t>Interpolated y</t>
  </si>
  <si>
    <t>Test Score Out Of 100</t>
  </si>
  <si>
    <t>FORECAST()</t>
  </si>
  <si>
    <t>FORECAST.LINEAR()</t>
  </si>
  <si>
    <t>TREND()</t>
  </si>
  <si>
    <t>Total Customers Met</t>
  </si>
  <si>
    <t>Interpolated Sales in $</t>
  </si>
  <si>
    <t>Excel Functions</t>
  </si>
  <si>
    <t>Interpolated Test Score Out Of 100</t>
  </si>
  <si>
    <t>US Population</t>
  </si>
  <si>
    <t>Interpolated US Population</t>
  </si>
  <si>
    <t>Hours Studied (hr)</t>
  </si>
  <si>
    <t>SLOPE() &amp; INTERCEPT()</t>
  </si>
  <si>
    <t>2022- Top Score Out Of 100</t>
  </si>
  <si>
    <t>2021- Top Score Out Of 100</t>
  </si>
  <si>
    <t>2020- Top Score Out Of 100</t>
  </si>
  <si>
    <t>2019- Top Score Out Of 100</t>
  </si>
  <si>
    <t>Box Type</t>
  </si>
  <si>
    <t>Total Boxes With Sides In inches</t>
  </si>
  <si>
    <t>Box 1</t>
  </si>
  <si>
    <t>Box 2</t>
  </si>
  <si>
    <t>Box 3</t>
  </si>
  <si>
    <t>Box 4</t>
  </si>
  <si>
    <t>Box 5</t>
  </si>
  <si>
    <t>Store</t>
  </si>
  <si>
    <t>Store A</t>
  </si>
  <si>
    <t>Store B</t>
  </si>
  <si>
    <t>Store C</t>
  </si>
  <si>
    <t>Store D</t>
  </si>
  <si>
    <t>Store E</t>
  </si>
  <si>
    <t>Bread Cost in $</t>
  </si>
  <si>
    <t>Jam Cost in $</t>
  </si>
  <si>
    <t>Butter Cost in $</t>
  </si>
  <si>
    <t>Honey Cost in $</t>
  </si>
  <si>
    <t>Website</t>
  </si>
  <si>
    <t>Per Day Site Visitors</t>
  </si>
  <si>
    <t>website1</t>
  </si>
  <si>
    <t>website2</t>
  </si>
  <si>
    <t>website3</t>
  </si>
  <si>
    <t>website4</t>
  </si>
  <si>
    <t>Dell XPS 13 (9315)</t>
  </si>
  <si>
    <t>Apple MacBook Air M1</t>
  </si>
  <si>
    <t>MacBook Pro 16-inch</t>
  </si>
  <si>
    <t>Razer Blade 14</t>
  </si>
  <si>
    <t>Dell XPS 15 (9520)</t>
  </si>
  <si>
    <t>Laptop Details</t>
  </si>
  <si>
    <t>Test Inference</t>
  </si>
  <si>
    <t>Result (mg)</t>
  </si>
  <si>
    <t>Test_2 (&gt; 5 mg)</t>
  </si>
  <si>
    <t>Test_3 (&gt; 6 mg)</t>
  </si>
  <si>
    <t>Test_5 (&gt; 5 mg)</t>
  </si>
  <si>
    <t>Test_6 (&gt; 5 mg)</t>
  </si>
  <si>
    <t>Test_4 (&gt; 10 mg)</t>
  </si>
  <si>
    <t>Test_1 (&gt; 4 mg)</t>
  </si>
  <si>
    <t>This is an example of the UNICODE().</t>
  </si>
  <si>
    <t>9gbs</t>
  </si>
  <si>
    <t>[UNICODE()]</t>
  </si>
  <si>
    <t>ý</t>
  </si>
  <si>
    <r>
      <t xml:space="preserve">Formula in cell B2: </t>
    </r>
    <r>
      <rPr>
        <b/>
        <sz val="11"/>
        <color theme="1"/>
        <rFont val="Calibri"/>
        <family val="2"/>
        <scheme val="minor"/>
      </rPr>
      <t>=UNICODE(A2)</t>
    </r>
  </si>
  <si>
    <r>
      <t xml:space="preserve">Formula in cell B3: </t>
    </r>
    <r>
      <rPr>
        <b/>
        <sz val="11"/>
        <color theme="1"/>
        <rFont val="Calibri"/>
        <family val="2"/>
        <scheme val="minor"/>
      </rPr>
      <t>=UNICODE(A3)</t>
    </r>
  </si>
  <si>
    <r>
      <t xml:space="preserve">Formula in cell B4: </t>
    </r>
    <r>
      <rPr>
        <b/>
        <sz val="11"/>
        <color theme="1"/>
        <rFont val="Calibri"/>
        <family val="2"/>
        <scheme val="minor"/>
      </rPr>
      <t>=UNICODE(A4)</t>
    </r>
  </si>
  <si>
    <r>
      <t xml:space="preserve">Formula in cell B5: </t>
    </r>
    <r>
      <rPr>
        <b/>
        <sz val="11"/>
        <color theme="1"/>
        <rFont val="Calibri"/>
        <family val="2"/>
        <scheme val="minor"/>
      </rPr>
      <t>=UNICODE(A5)</t>
    </r>
  </si>
  <si>
    <r>
      <t xml:space="preserve">Formula in cell B6: </t>
    </r>
    <r>
      <rPr>
        <b/>
        <sz val="11"/>
        <color theme="1"/>
        <rFont val="Calibri"/>
        <family val="2"/>
        <scheme val="minor"/>
      </rPr>
      <t>=UNICODE(A6)</t>
    </r>
  </si>
  <si>
    <r>
      <t xml:space="preserve">Formula in cell B7: </t>
    </r>
    <r>
      <rPr>
        <b/>
        <sz val="11"/>
        <color theme="1"/>
        <rFont val="Calibri"/>
        <family val="2"/>
        <scheme val="minor"/>
      </rPr>
      <t>=UNICODE(A7)</t>
    </r>
  </si>
  <si>
    <t>★ UNICODE() returns a number in decimal notation.</t>
  </si>
  <si>
    <t>η - Eta</t>
  </si>
  <si>
    <t>Unicode Value</t>
  </si>
  <si>
    <t>σ is the symbol of standard deviation.</t>
  </si>
  <si>
    <t>① Rice</t>
  </si>
  <si>
    <t>② Corn</t>
  </si>
  <si>
    <t>③ Wheat</t>
  </si>
  <si>
    <t>④ Oats</t>
  </si>
  <si>
    <t>⑤ All Purpose Flour</t>
  </si>
  <si>
    <t>a- Lowercase</t>
  </si>
  <si>
    <t>b- Lowercase</t>
  </si>
  <si>
    <t>c- Lowercase</t>
  </si>
  <si>
    <t>d- Lowercase</t>
  </si>
  <si>
    <t>あいこ</t>
  </si>
  <si>
    <t>あけみ</t>
  </si>
  <si>
    <t>あきお</t>
  </si>
  <si>
    <t>Aiko- Japanese Hiragana</t>
  </si>
  <si>
    <t>Akemi- Japanese Hiragana</t>
  </si>
  <si>
    <t>Akio- Japanese Hiragana</t>
  </si>
  <si>
    <t>⚐</t>
  </si>
  <si>
    <t>😇</t>
  </si>
  <si>
    <t>↔</t>
  </si>
  <si>
    <t>Ⅰ</t>
  </si>
  <si>
    <t>Ⅱ</t>
  </si>
  <si>
    <t>Ⅲ</t>
  </si>
  <si>
    <t>Ⅳ</t>
  </si>
  <si>
    <t>Ⅴ</t>
  </si>
  <si>
    <t>Ⅵ</t>
  </si>
  <si>
    <t>Ⅶ</t>
  </si>
  <si>
    <t>Ⅷ</t>
  </si>
  <si>
    <t>Ⅸ</t>
  </si>
  <si>
    <t>Ⅹ</t>
  </si>
  <si>
    <t>Steps To Become A Financial Advisor</t>
  </si>
  <si>
    <t>ⅠEarn the right degree.</t>
  </si>
  <si>
    <t>ⅡServe as an intern.</t>
  </si>
  <si>
    <t>ⅢObtain certifications and licenses.</t>
  </si>
  <si>
    <t>ⅣLand an entry level job.</t>
  </si>
  <si>
    <t>ⅤReturn to school.</t>
  </si>
  <si>
    <t>Steps To Become A Financial Advisor (Without Roman Numerals)</t>
  </si>
  <si>
    <t>The UNICODE() is a Text Function.</t>
  </si>
  <si>
    <t>♟- Pawn in chess.</t>
  </si>
  <si>
    <t>🙶 🙷</t>
  </si>
  <si>
    <t>⇔</t>
  </si>
  <si>
    <t>Code Point</t>
  </si>
  <si>
    <t>code point</t>
  </si>
  <si>
    <t>Result (Unicode Value)</t>
  </si>
  <si>
    <t>Source Data (Fraction Format)</t>
  </si>
  <si>
    <r>
      <t xml:space="preserve">Formula in cell B2: </t>
    </r>
    <r>
      <rPr>
        <b/>
        <sz val="11"/>
        <color theme="1"/>
        <rFont val="Calibri"/>
        <family val="2"/>
        <scheme val="minor"/>
      </rPr>
      <t>=A2</t>
    </r>
  </si>
  <si>
    <r>
      <t xml:space="preserve">Formula in cell B3: </t>
    </r>
    <r>
      <rPr>
        <b/>
        <sz val="11"/>
        <color theme="1"/>
        <rFont val="Calibri"/>
        <family val="2"/>
        <scheme val="minor"/>
      </rPr>
      <t>=A3</t>
    </r>
  </si>
  <si>
    <r>
      <t xml:space="preserve">Formula in cell B4: </t>
    </r>
    <r>
      <rPr>
        <b/>
        <sz val="11"/>
        <color theme="1"/>
        <rFont val="Calibri"/>
        <family val="2"/>
        <scheme val="minor"/>
      </rPr>
      <t>=A4</t>
    </r>
  </si>
  <si>
    <r>
      <t xml:space="preserve">Formula in cell B5: </t>
    </r>
    <r>
      <rPr>
        <b/>
        <sz val="11"/>
        <color theme="1"/>
        <rFont val="Calibri"/>
        <family val="2"/>
        <scheme val="minor"/>
      </rPr>
      <t>=A5</t>
    </r>
  </si>
  <si>
    <r>
      <t xml:space="preserve">Formula in cell B6: </t>
    </r>
    <r>
      <rPr>
        <b/>
        <sz val="11"/>
        <color theme="1"/>
        <rFont val="Calibri"/>
        <family val="2"/>
        <scheme val="minor"/>
      </rPr>
      <t>=A6</t>
    </r>
  </si>
  <si>
    <r>
      <t xml:space="preserve">Formula in cell B7: </t>
    </r>
    <r>
      <rPr>
        <b/>
        <sz val="11"/>
        <color theme="1"/>
        <rFont val="Calibri"/>
        <family val="2"/>
        <scheme val="minor"/>
      </rPr>
      <t>=A7</t>
    </r>
  </si>
  <si>
    <t>Number (Fraction Format)</t>
  </si>
  <si>
    <t>Weight in tons</t>
  </si>
  <si>
    <t>Weight in tons (Fraction Format)</t>
  </si>
  <si>
    <t>Data 1</t>
  </si>
  <si>
    <t>Data 2</t>
  </si>
  <si>
    <t>custom- # ??/50</t>
  </si>
  <si>
    <t>Destination A</t>
  </si>
  <si>
    <t>Destination B</t>
  </si>
  <si>
    <t>St. Paul</t>
  </si>
  <si>
    <t>Madison</t>
  </si>
  <si>
    <t>Nashville</t>
  </si>
  <si>
    <t>Raleigh</t>
  </si>
  <si>
    <t>Salem</t>
  </si>
  <si>
    <t>Helena</t>
  </si>
  <si>
    <t>Nebraska</t>
  </si>
  <si>
    <t>Distance (miles)</t>
  </si>
  <si>
    <t>Quiz Round 1 Score Out Of 50</t>
  </si>
  <si>
    <t>Quiz Round 2 Score Out Of 50</t>
  </si>
  <si>
    <t>Team</t>
  </si>
  <si>
    <t>Team A</t>
  </si>
  <si>
    <t>Team B</t>
  </si>
  <si>
    <t>Team C</t>
  </si>
  <si>
    <t>Team D</t>
  </si>
  <si>
    <t>Team E</t>
  </si>
  <si>
    <t>Team F</t>
  </si>
  <si>
    <r>
      <t xml:space="preserve">Formula in cell D2: </t>
    </r>
    <r>
      <rPr>
        <b/>
        <sz val="11"/>
        <color theme="1"/>
        <rFont val="Calibri"/>
        <family val="2"/>
        <scheme val="minor"/>
      </rPr>
      <t>=IF(AND(B2&gt;=45,C2&gt;=45),"Qualified","Not Qualified")</t>
    </r>
  </si>
  <si>
    <r>
      <t xml:space="preserve">Formula in cell D3: </t>
    </r>
    <r>
      <rPr>
        <b/>
        <sz val="11"/>
        <color theme="1"/>
        <rFont val="Calibri"/>
        <family val="2"/>
        <scheme val="minor"/>
      </rPr>
      <t>=IF(AND(B3&gt;=45,C3&gt;=45),"Qualified","Not Qualified")</t>
    </r>
  </si>
  <si>
    <r>
      <t xml:space="preserve">Formula in cell D4: </t>
    </r>
    <r>
      <rPr>
        <b/>
        <sz val="11"/>
        <color theme="1"/>
        <rFont val="Calibri"/>
        <family val="2"/>
        <scheme val="minor"/>
      </rPr>
      <t>=IF(AND(B4&gt;=45,C4&gt;=45),"Qualified","Not Qualified")</t>
    </r>
  </si>
  <si>
    <r>
      <t xml:space="preserve">Formula in cell D5: </t>
    </r>
    <r>
      <rPr>
        <b/>
        <sz val="11"/>
        <color theme="1"/>
        <rFont val="Calibri"/>
        <family val="2"/>
        <scheme val="minor"/>
      </rPr>
      <t>=IF(AND(B5&gt;=45,C5&gt;=45),"Qualified","Not Qualified")</t>
    </r>
  </si>
  <si>
    <r>
      <t xml:space="preserve">Formula in cell D6: </t>
    </r>
    <r>
      <rPr>
        <b/>
        <sz val="11"/>
        <color theme="1"/>
        <rFont val="Calibri"/>
        <family val="2"/>
        <scheme val="minor"/>
      </rPr>
      <t>=IF(AND(B6&gt;=45,C6&gt;=45),"Qualified","Not Qualified")</t>
    </r>
  </si>
  <si>
    <r>
      <t xml:space="preserve">Formula in cell D7: </t>
    </r>
    <r>
      <rPr>
        <b/>
        <sz val="11"/>
        <color theme="1"/>
        <rFont val="Calibri"/>
        <family val="2"/>
        <scheme val="minor"/>
      </rPr>
      <t>=IF(AND(B7&gt;=45,C7&gt;=45),"Qualified","Not Qualified")</t>
    </r>
  </si>
  <si>
    <t>Quiz Round 3 Qualification Status</t>
  </si>
  <si>
    <t>Minimum Units Required</t>
  </si>
  <si>
    <t>Number of Units Delivered</t>
  </si>
  <si>
    <t>Item Cost in $</t>
  </si>
  <si>
    <t>Nike</t>
  </si>
  <si>
    <t>Ralph Lauren</t>
  </si>
  <si>
    <t>Gap</t>
  </si>
  <si>
    <t>Project Submitted</t>
  </si>
  <si>
    <t>Calvin Knight</t>
  </si>
  <si>
    <t>Luther Munoz</t>
  </si>
  <si>
    <t>Amber Young</t>
  </si>
  <si>
    <t>Luis Weaver</t>
  </si>
  <si>
    <t>Leona Andrews</t>
  </si>
  <si>
    <t>Kari Hall</t>
  </si>
  <si>
    <t>Nina Wallace</t>
  </si>
  <si>
    <t>Brendan Fields</t>
  </si>
  <si>
    <t>Arthur Mccormick</t>
  </si>
  <si>
    <t>Jane Francis</t>
  </si>
  <si>
    <t>Attendance (days)</t>
  </si>
  <si>
    <t>Scholarship Eligibility</t>
  </si>
  <si>
    <t>Utilization</t>
  </si>
  <si>
    <t>Vernon Mcbride</t>
  </si>
  <si>
    <t>Billie Robinson</t>
  </si>
  <si>
    <t>Maureen Armstrong</t>
  </si>
  <si>
    <t>Danielle Olson</t>
  </si>
  <si>
    <t>Jose Payne</t>
  </si>
  <si>
    <t>Ann Webster</t>
  </si>
  <si>
    <t>Kelli Bradley</t>
  </si>
  <si>
    <t>Lauren Summers</t>
  </si>
  <si>
    <t>Alfred Sandoval</t>
  </si>
  <si>
    <t>Tracy Bridges</t>
  </si>
  <si>
    <t>Availability Status</t>
  </si>
  <si>
    <t>White</t>
  </si>
  <si>
    <t>Denim Blue</t>
  </si>
  <si>
    <t>Platinum Grey</t>
  </si>
  <si>
    <t>Laptop Model_1</t>
  </si>
  <si>
    <t>Laptop Model_2</t>
  </si>
  <si>
    <t>Laptop Model_3</t>
  </si>
  <si>
    <t>Laptop Model_4</t>
  </si>
  <si>
    <t>Laptop Model_5</t>
  </si>
  <si>
    <t>Laptop Model_6</t>
  </si>
  <si>
    <t>Laptop Model_7</t>
  </si>
  <si>
    <t>Laptop Model_8</t>
  </si>
  <si>
    <t>Laptop Model_9</t>
  </si>
  <si>
    <t>Laptop Model_10</t>
  </si>
  <si>
    <t>Black</t>
  </si>
  <si>
    <t>z-value</t>
  </si>
  <si>
    <t>probability</t>
  </si>
  <si>
    <r>
      <t xml:space="preserve">Formula in cell B2: </t>
    </r>
    <r>
      <rPr>
        <b/>
        <sz val="11"/>
        <color theme="1"/>
        <rFont val="Calibri"/>
        <family val="2"/>
        <scheme val="minor"/>
      </rPr>
      <t>=NORM.S.INV(A2)</t>
    </r>
  </si>
  <si>
    <r>
      <t xml:space="preserve">Formula in cell B3: </t>
    </r>
    <r>
      <rPr>
        <b/>
        <sz val="11"/>
        <color theme="1"/>
        <rFont val="Calibri"/>
        <family val="2"/>
        <scheme val="minor"/>
      </rPr>
      <t>=NORM.S.INV(A3)</t>
    </r>
  </si>
  <si>
    <r>
      <t xml:space="preserve">Formula in cell B4: </t>
    </r>
    <r>
      <rPr>
        <b/>
        <sz val="11"/>
        <color theme="1"/>
        <rFont val="Calibri"/>
        <family val="2"/>
        <scheme val="minor"/>
      </rPr>
      <t>=NORM.S.INV(A4)</t>
    </r>
  </si>
  <si>
    <r>
      <t xml:space="preserve">Formula in cell B5: </t>
    </r>
    <r>
      <rPr>
        <b/>
        <sz val="11"/>
        <color theme="1"/>
        <rFont val="Calibri"/>
        <family val="2"/>
        <scheme val="minor"/>
      </rPr>
      <t>=NORM.S.INV(A5)</t>
    </r>
  </si>
  <si>
    <t>probability (NORM.S.DIST())</t>
  </si>
  <si>
    <t>z-value (NORM.S.INV())</t>
  </si>
  <si>
    <t>x- The value for which you want the distribution</t>
  </si>
  <si>
    <t>Left-tailed</t>
  </si>
  <si>
    <t>Significance Level</t>
  </si>
  <si>
    <r>
      <t xml:space="preserve">Formula in cell C3: </t>
    </r>
    <r>
      <rPr>
        <b/>
        <sz val="11"/>
        <color theme="1"/>
        <rFont val="Calibri"/>
        <family val="2"/>
        <scheme val="minor"/>
      </rPr>
      <t>=NORM.S.DIST(B3,TRUE)</t>
    </r>
  </si>
  <si>
    <r>
      <t xml:space="preserve">Formula in cell C4: </t>
    </r>
    <r>
      <rPr>
        <b/>
        <sz val="11"/>
        <color theme="1"/>
        <rFont val="Calibri"/>
        <family val="2"/>
        <scheme val="minor"/>
      </rPr>
      <t>=NORM.S.DIST(B4,TRUE)</t>
    </r>
  </si>
  <si>
    <r>
      <t xml:space="preserve">Formula in cell C5: </t>
    </r>
    <r>
      <rPr>
        <b/>
        <sz val="11"/>
        <color theme="1"/>
        <rFont val="Calibri"/>
        <family val="2"/>
        <scheme val="minor"/>
      </rPr>
      <t>=NORM.S.DIST(B5,TRUE)</t>
    </r>
  </si>
  <si>
    <r>
      <t xml:space="preserve">Formula in cell C6: </t>
    </r>
    <r>
      <rPr>
        <b/>
        <sz val="11"/>
        <color theme="1"/>
        <rFont val="Calibri"/>
        <family val="2"/>
        <scheme val="minor"/>
      </rPr>
      <t>=NORM.S.DIST(B6,TRUE)</t>
    </r>
  </si>
  <si>
    <t>x-value (NORM.S.INV())</t>
  </si>
  <si>
    <t>Normal Cumulative Distribution (NORM.DIST())</t>
  </si>
  <si>
    <t>Standard Normal Cumulative Distribution (NORM.S.DIST())</t>
  </si>
  <si>
    <t>Z-critical value</t>
  </si>
  <si>
    <t>Standard Normal Cumulative Distribution (probability value)</t>
  </si>
  <si>
    <t>Total Savings in $ (In Percentage)</t>
  </si>
  <si>
    <t>Mathematics (Out Of 100)</t>
  </si>
  <si>
    <t>Physics (Out Of 100)</t>
  </si>
  <si>
    <t>Chemistry (Out Of 100)</t>
  </si>
  <si>
    <t>Biology (Out Of 100)</t>
  </si>
  <si>
    <t>English (Out Of 100)</t>
  </si>
  <si>
    <t>Student_1</t>
  </si>
  <si>
    <t>Student_2</t>
  </si>
  <si>
    <t>Student_3</t>
  </si>
  <si>
    <t>Student_4</t>
  </si>
  <si>
    <t>Student_5</t>
  </si>
  <si>
    <t>Student_6</t>
  </si>
  <si>
    <t>Student_7</t>
  </si>
  <si>
    <t>Student_8</t>
  </si>
  <si>
    <t>Student_9</t>
  </si>
  <si>
    <t>Student_10</t>
  </si>
  <si>
    <t>Aggregate (Out Of 500)</t>
  </si>
  <si>
    <t>Total Percentage (%)</t>
  </si>
  <si>
    <t>Percentage Increase In Stock Price (%)</t>
  </si>
  <si>
    <t>Revised Stock Price In $</t>
  </si>
  <si>
    <t>Stock Price In $</t>
  </si>
  <si>
    <t>NVR</t>
  </si>
  <si>
    <t>Seaboard</t>
  </si>
  <si>
    <t>AutoZone</t>
  </si>
  <si>
    <t>Texas Pacific Land Corp</t>
  </si>
  <si>
    <t>Laptop Model</t>
  </si>
  <si>
    <t>MacBook Pro</t>
  </si>
  <si>
    <t>Sales Tax (%)</t>
  </si>
  <si>
    <t xml:space="preserve">Description </t>
  </si>
  <si>
    <t>Enter 50%</t>
  </si>
  <si>
    <t>Enter 0.5%</t>
  </si>
  <si>
    <t>Enter 5%</t>
  </si>
  <si>
    <t>Percentage Value (%)</t>
  </si>
  <si>
    <t>Entered Number In Column B</t>
  </si>
  <si>
    <r>
      <t xml:space="preserve">Entered Number in cell B2: </t>
    </r>
    <r>
      <rPr>
        <b/>
        <sz val="11"/>
        <color theme="1"/>
        <rFont val="Calibri"/>
        <family val="2"/>
        <scheme val="minor"/>
      </rPr>
      <t>50</t>
    </r>
  </si>
  <si>
    <r>
      <t xml:space="preserve">Entered Number in cell B3: </t>
    </r>
    <r>
      <rPr>
        <b/>
        <sz val="11"/>
        <color theme="1"/>
        <rFont val="Calibri"/>
        <family val="2"/>
        <scheme val="minor"/>
      </rPr>
      <t>5</t>
    </r>
  </si>
  <si>
    <r>
      <t xml:space="preserve">Entered Number in cell B4: </t>
    </r>
    <r>
      <rPr>
        <b/>
        <sz val="11"/>
        <color theme="1"/>
        <rFont val="Calibri"/>
        <family val="2"/>
        <scheme val="minor"/>
      </rPr>
      <t>0.5</t>
    </r>
  </si>
  <si>
    <r>
      <t xml:space="preserve">Entered Number in cell B5: </t>
    </r>
    <r>
      <rPr>
        <b/>
        <sz val="11"/>
        <color theme="1"/>
        <rFont val="Calibri"/>
        <family val="2"/>
        <scheme val="minor"/>
      </rPr>
      <t>.5</t>
    </r>
  </si>
  <si>
    <t>Percentage Change in Price (%)</t>
  </si>
  <si>
    <t>Discount % (For Verification)</t>
  </si>
  <si>
    <t>Sentence case in Excel.</t>
  </si>
  <si>
    <t>Change the text case to uppercase.</t>
  </si>
  <si>
    <t>Change the text case to lowercase.</t>
  </si>
  <si>
    <r>
      <t xml:space="preserve">Formula in cells C2: </t>
    </r>
    <r>
      <rPr>
        <b/>
        <sz val="11"/>
        <color theme="1"/>
        <rFont val="Calibri"/>
        <family val="2"/>
        <scheme val="minor"/>
      </rPr>
      <t>=UPPER(A2)</t>
    </r>
  </si>
  <si>
    <r>
      <t xml:space="preserve">Formula in cells C3: </t>
    </r>
    <r>
      <rPr>
        <b/>
        <sz val="11"/>
        <color theme="1"/>
        <rFont val="Calibri"/>
        <family val="2"/>
        <scheme val="minor"/>
      </rPr>
      <t>=LOWER(A2)</t>
    </r>
  </si>
  <si>
    <r>
      <t xml:space="preserve">Formula in cells C4: </t>
    </r>
    <r>
      <rPr>
        <b/>
        <sz val="11"/>
        <color theme="1"/>
        <rFont val="Calibri"/>
        <family val="2"/>
        <scheme val="minor"/>
      </rPr>
      <t>=PROPER(A2)</t>
    </r>
  </si>
  <si>
    <t>kevin reed</t>
  </si>
  <si>
    <t>Employee Name- Title Case</t>
  </si>
  <si>
    <t>M/S</t>
  </si>
  <si>
    <t>lte</t>
  </si>
  <si>
    <t>Speed Unit</t>
  </si>
  <si>
    <t>Speed Unit- Lowercase</t>
  </si>
  <si>
    <t>Acronym</t>
  </si>
  <si>
    <t>Acronym- Upper Case</t>
  </si>
  <si>
    <t>Change the text case to title case.</t>
  </si>
  <si>
    <t>Quote</t>
  </si>
  <si>
    <t>WHEN YOU REACH THE END OF YOUR ROPE, TIE A KNOT IN IT AND HANG ON.</t>
  </si>
  <si>
    <t>THE FUTURE BELONGS TO THOSE WHO BELIEVE IN THE BEAUTY OF THEIR DREAMS.</t>
  </si>
  <si>
    <t>WHOEVER IS HAPPY WILL MAKE OTHERS HAPPY TOO.</t>
  </si>
  <si>
    <t>IT IS DURING OUR DARKEST MOMENTS THAT WE MUST FOCUS TO SEE THE LIGHT.</t>
  </si>
  <si>
    <t>DON'T JUDGE EACH DAY BY THE HARVEST YOU REAP BUT BY THE SEEDS THAT YOU PLANT.</t>
  </si>
  <si>
    <t>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t>
  </si>
  <si>
    <t>Paragraph With Corrected Sentence Case Setting</t>
  </si>
  <si>
    <t>Paragragh In Lowercase</t>
  </si>
  <si>
    <t>Look for certification preparatory programs.</t>
  </si>
  <si>
    <t>Get a bachelor's degree in a finance-related discipline.</t>
  </si>
  <si>
    <t>Look for an internship while still in school.</t>
  </si>
  <si>
    <t>Take some psychology courses.</t>
  </si>
  <si>
    <t>Go further with a master's degree or doctorate.</t>
  </si>
  <si>
    <t>Steps To Acquiring Necessary Skills and Education</t>
  </si>
  <si>
    <t>Steps To Acquiring Necessary Skills and Education- Corrected Sentence Case Setting</t>
  </si>
  <si>
    <t>get a bachelor's degree in a finance-related discipline.</t>
  </si>
  <si>
    <t>look for certification preparatory programs.</t>
  </si>
  <si>
    <t>look for an internship while still in school.</t>
  </si>
  <si>
    <t>take some psychology courses.</t>
  </si>
  <si>
    <t>go further with a master's degree or doctorate.</t>
  </si>
  <si>
    <t>cONVERT a TEXT STRING TO all UPPERCASE letters.</t>
  </si>
  <si>
    <t>CONVERT ALL letters IN a text STRING to LOWERCASE.</t>
  </si>
  <si>
    <t>Quote (Updated Sentence Case)</t>
  </si>
  <si>
    <t>Quote (Corrected Sentence Case Setting)</t>
  </si>
  <si>
    <t>Convert a text string to all uppercase letters.</t>
  </si>
  <si>
    <t>Convert all letters in a text string to lowercase.</t>
  </si>
  <si>
    <t>Price in USD</t>
  </si>
  <si>
    <t>Total Price in USD</t>
  </si>
  <si>
    <t>Units Ordered (ton)</t>
  </si>
  <si>
    <t>Maize</t>
  </si>
  <si>
    <t>Zone</t>
  </si>
  <si>
    <t>BO_1</t>
  </si>
  <si>
    <t>BO_2</t>
  </si>
  <si>
    <t>BO_3</t>
  </si>
  <si>
    <t>Total Zonal Sales in $</t>
  </si>
  <si>
    <t>Branch Office Sales Cut-off in $</t>
  </si>
  <si>
    <t>US</t>
  </si>
  <si>
    <t>Australia</t>
  </si>
  <si>
    <t>UK</t>
  </si>
  <si>
    <t>Customer Votes</t>
  </si>
  <si>
    <t>Total Customer Votes</t>
  </si>
  <si>
    <t>Number Of Boxes Ordered</t>
  </si>
  <si>
    <t>Total Boxes Ordered</t>
  </si>
  <si>
    <t>Order Date Range</t>
  </si>
  <si>
    <t>1/15/2022 to 3/1/2022</t>
  </si>
  <si>
    <t>Employee Designation</t>
  </si>
  <si>
    <t>Account</t>
  </si>
  <si>
    <t>DHN</t>
  </si>
  <si>
    <t>JKD</t>
  </si>
  <si>
    <t>ABL</t>
  </si>
  <si>
    <t>BDJ</t>
  </si>
  <si>
    <t>Software Engineer</t>
  </si>
  <si>
    <t>Staff Engineer</t>
  </si>
  <si>
    <t>Bonus Encashment in $</t>
  </si>
  <si>
    <t>Quantity (Units)</t>
  </si>
  <si>
    <t>Price Per Unit In $</t>
  </si>
  <si>
    <t>Or</t>
  </si>
  <si>
    <t>Total Price In $</t>
  </si>
  <si>
    <t>Total Headcount</t>
  </si>
  <si>
    <t>Total Bonus Encashment For Total Headcount In $</t>
  </si>
  <si>
    <t>Test I (Score Out Of 100)</t>
  </si>
  <si>
    <t>Test II (Score Out Of 100)</t>
  </si>
  <si>
    <t>2021- Sales In USD</t>
  </si>
  <si>
    <t>2022- Sales In USD</t>
  </si>
  <si>
    <t>State Population in million</t>
  </si>
  <si>
    <t>2000's</t>
  </si>
  <si>
    <t>2010's</t>
  </si>
  <si>
    <t>2020's</t>
  </si>
  <si>
    <t>1980's</t>
  </si>
  <si>
    <t>1990's</t>
  </si>
  <si>
    <t>2022- Quarter</t>
  </si>
  <si>
    <t>Eloise Warner</t>
  </si>
  <si>
    <t>Lynn Morgan</t>
  </si>
  <si>
    <t>Anne Rodriquez</t>
  </si>
  <si>
    <t>Ian Hamilton</t>
  </si>
  <si>
    <t>Bessie Waters</t>
  </si>
  <si>
    <t>Subject Score Out Of 50</t>
  </si>
  <si>
    <t>Ambience</t>
  </si>
  <si>
    <t>Customer service</t>
  </si>
  <si>
    <t>Feedback Factors</t>
  </si>
  <si>
    <t>Punctuality</t>
  </si>
  <si>
    <t>Student Age in years</t>
  </si>
  <si>
    <t>Decade</t>
  </si>
  <si>
    <t>Hours Studied</t>
  </si>
  <si>
    <t>Customer 1 Ratings</t>
  </si>
  <si>
    <t>Customer 2 Ratings</t>
  </si>
  <si>
    <t>Customer 3 Ratings</t>
  </si>
  <si>
    <t>Test Score Out Of 50</t>
  </si>
  <si>
    <t>One-tailed probability of a Z-test</t>
  </si>
  <si>
    <t>Hypothesized Population Mean, x (°F)</t>
  </si>
  <si>
    <t>Stock's Daily Return (%)</t>
  </si>
  <si>
    <t>One-tailed Probability Of Z-test</t>
  </si>
  <si>
    <t>Hypothesized Population Mean (%)</t>
  </si>
  <si>
    <t>sigma</t>
  </si>
  <si>
    <t>P-value</t>
  </si>
  <si>
    <t>Known Population Standard Deviation (%)</t>
  </si>
  <si>
    <t>Hypothesized Population Mean</t>
  </si>
  <si>
    <t>Two-tailed Probability Of Z-test</t>
  </si>
  <si>
    <t>Stress Level</t>
  </si>
  <si>
    <t>City_ABC</t>
  </si>
  <si>
    <t>City_XYZ</t>
  </si>
  <si>
    <t>z-Test: Two Sample for Means</t>
  </si>
  <si>
    <t>Known Variance</t>
  </si>
  <si>
    <t>P(Z&lt;=z) one-tail</t>
  </si>
  <si>
    <t>z Critical one-tail</t>
  </si>
  <si>
    <t>P(Z&lt;=z) two-tail</t>
  </si>
  <si>
    <t>z Critical two-tail</t>
  </si>
  <si>
    <t>Variance (City_ABC)</t>
  </si>
  <si>
    <t>Variance (City_XYZ)</t>
  </si>
  <si>
    <t>Value at which to assess the function.</t>
  </si>
  <si>
    <t>Form of the function.</t>
  </si>
  <si>
    <t>Alpha parameter to the distribution.</t>
  </si>
  <si>
    <t>Beta parameter to the distribution.</t>
  </si>
  <si>
    <t>beta</t>
  </si>
  <si>
    <t>Weibull Cumulative Distribution Function</t>
  </si>
  <si>
    <t>Weibull Distribution Calculation</t>
  </si>
  <si>
    <t>Weibull Cumulative Distribution Function Calculation</t>
  </si>
  <si>
    <t>Weibull Probability Density Function Calculation</t>
  </si>
  <si>
    <t>Weibull Probability Density Function</t>
  </si>
  <si>
    <t>Unit Price in $</t>
  </si>
  <si>
    <t>Fixed Costs in $</t>
  </si>
  <si>
    <t>Cost Per Unit in $</t>
  </si>
  <si>
    <t>Profit in $ (Revenue - Cost)</t>
  </si>
  <si>
    <t>Cost in $ 
((Fixed Costs + (Units Sold*Cost Per Unit)))</t>
  </si>
  <si>
    <t>Revenue in $ 
(Units Sold*Unit Price)</t>
  </si>
  <si>
    <t>Unit Sold</t>
  </si>
  <si>
    <t>Variable Costs in $</t>
  </si>
  <si>
    <r>
      <t xml:space="preserve">Formula in cell D5: </t>
    </r>
    <r>
      <rPr>
        <b/>
        <sz val="11"/>
        <color theme="1"/>
        <rFont val="Calibri"/>
        <family val="2"/>
        <scheme val="minor"/>
      </rPr>
      <t>=D3*D4</t>
    </r>
  </si>
  <si>
    <r>
      <t xml:space="preserve">Formula in cell D7: </t>
    </r>
    <r>
      <rPr>
        <b/>
        <sz val="11"/>
        <color theme="1"/>
        <rFont val="Calibri"/>
        <family val="2"/>
        <scheme val="minor"/>
      </rPr>
      <t>=D4*D6</t>
    </r>
  </si>
  <si>
    <r>
      <t xml:space="preserve">Formula in cell D9: </t>
    </r>
    <r>
      <rPr>
        <b/>
        <sz val="11"/>
        <color theme="1"/>
        <rFont val="Calibri"/>
        <family val="2"/>
        <scheme val="minor"/>
      </rPr>
      <t>=D5-D7-D8</t>
    </r>
  </si>
  <si>
    <t>Unit Sales Price in $</t>
  </si>
  <si>
    <t xml:space="preserve"> Variable Cost Per Unit in $</t>
  </si>
  <si>
    <t>Break-Even Analysis Calculator</t>
  </si>
  <si>
    <t>include twice - break even analysis calculator excel</t>
  </si>
  <si>
    <t>Total Fixed Costs in $</t>
  </si>
  <si>
    <t>Break-Even Total Sales Calculation</t>
  </si>
  <si>
    <t xml:space="preserve"> Variable Costs in $</t>
  </si>
  <si>
    <t>Contribution Margin</t>
  </si>
  <si>
    <t>Break-Even Point (Total Sales)</t>
  </si>
  <si>
    <t>Break-Even Point (Unit)</t>
  </si>
  <si>
    <t>Break-Even Unit Calculation</t>
  </si>
  <si>
    <r>
      <t xml:space="preserve">Formula in cell C3: </t>
    </r>
    <r>
      <rPr>
        <b/>
        <sz val="11"/>
        <color theme="1"/>
        <rFont val="Calibri"/>
        <family val="2"/>
        <scheme val="minor"/>
      </rPr>
      <t>=(C8/C4)+C6</t>
    </r>
  </si>
  <si>
    <r>
      <t xml:space="preserve">Formula in cell C5: </t>
    </r>
    <r>
      <rPr>
        <b/>
        <sz val="11"/>
        <color theme="1"/>
        <rFont val="Calibri"/>
        <family val="2"/>
        <scheme val="minor"/>
      </rPr>
      <t>=C3*C4</t>
    </r>
  </si>
  <si>
    <r>
      <t xml:space="preserve">Formula in cell C7: </t>
    </r>
    <r>
      <rPr>
        <b/>
        <sz val="11"/>
        <color theme="1"/>
        <rFont val="Calibri"/>
        <family val="2"/>
        <scheme val="minor"/>
      </rPr>
      <t>=C4*C6</t>
    </r>
  </si>
  <si>
    <t>Angle in Radians</t>
  </si>
  <si>
    <t>Angle in Degrees</t>
  </si>
  <si>
    <r>
      <t xml:space="preserve">Formula in cell B2: </t>
    </r>
    <r>
      <rPr>
        <b/>
        <sz val="11"/>
        <color theme="1"/>
        <rFont val="Calibri"/>
        <family val="2"/>
        <scheme val="minor"/>
      </rPr>
      <t>=DEGREES(A2)</t>
    </r>
  </si>
  <si>
    <r>
      <t xml:space="preserve">Formula in cell B3: </t>
    </r>
    <r>
      <rPr>
        <b/>
        <sz val="11"/>
        <color theme="1"/>
        <rFont val="Calibri"/>
        <family val="2"/>
        <scheme val="minor"/>
      </rPr>
      <t>=DEGREES(A3)</t>
    </r>
  </si>
  <si>
    <r>
      <t xml:space="preserve">Formula in cell B4: </t>
    </r>
    <r>
      <rPr>
        <b/>
        <sz val="11"/>
        <color theme="1"/>
        <rFont val="Calibri"/>
        <family val="2"/>
        <scheme val="minor"/>
      </rPr>
      <t>=DEGREES(A4)</t>
    </r>
  </si>
  <si>
    <r>
      <t xml:space="preserve">Formula in cell B5: </t>
    </r>
    <r>
      <rPr>
        <b/>
        <sz val="11"/>
        <color theme="1"/>
        <rFont val="Calibri"/>
        <family val="2"/>
        <scheme val="minor"/>
      </rPr>
      <t>=DEGREES(A5)</t>
    </r>
  </si>
  <si>
    <r>
      <t xml:space="preserve">Formula in cell B6: </t>
    </r>
    <r>
      <rPr>
        <b/>
        <sz val="11"/>
        <color theme="1"/>
        <rFont val="Calibri"/>
        <family val="2"/>
        <scheme val="minor"/>
      </rPr>
      <t>=DEGREES(A6)</t>
    </r>
  </si>
  <si>
    <t>Negative Angle in Degrees</t>
  </si>
  <si>
    <t>Negative Angle in Radians</t>
  </si>
  <si>
    <t>Trigonometric Calculation</t>
  </si>
  <si>
    <t>Arccosine (Radians)</t>
  </si>
  <si>
    <t>Arccosine (Degrees)</t>
  </si>
  <si>
    <t>Cosine Of An Angle</t>
  </si>
  <si>
    <t>Angle in Degrees (DEGREES())</t>
  </si>
  <si>
    <t>Angle in Degrees (Angle in Radians*180/PI())</t>
  </si>
  <si>
    <t>Firm C</t>
  </si>
  <si>
    <t>Sales in million USD</t>
  </si>
  <si>
    <t>Stacey Newton</t>
  </si>
  <si>
    <t>Patsy Rivera</t>
  </si>
  <si>
    <t>Randolph Parks</t>
  </si>
  <si>
    <t>Hector Malone</t>
  </si>
  <si>
    <t>Vincent Paul</t>
  </si>
  <si>
    <t>Jan-Test I</t>
  </si>
  <si>
    <t>Feb-Test II</t>
  </si>
  <si>
    <t>Mar-Test III</t>
  </si>
  <si>
    <t>Mathematics - Monthly Test Score Out Of 100</t>
  </si>
  <si>
    <t>Total Income In $</t>
  </si>
  <si>
    <t>Total Savings In $</t>
  </si>
  <si>
    <t xml:space="preserve">Smartphone </t>
  </si>
  <si>
    <t>Sales In USD</t>
  </si>
  <si>
    <t>BO_4</t>
  </si>
  <si>
    <t>Branch Office- Profit in million USD</t>
  </si>
  <si>
    <t>Region1</t>
  </si>
  <si>
    <t>Region2</t>
  </si>
  <si>
    <t>Region3</t>
  </si>
  <si>
    <t>Region4</t>
  </si>
  <si>
    <t>Quarterly Sales in thousand USD</t>
  </si>
  <si>
    <t>Profit Margin (%)</t>
  </si>
  <si>
    <t>Market Share in %</t>
  </si>
  <si>
    <t>Helper1</t>
  </si>
  <si>
    <t>Value at which to evaluate the function (x).</t>
  </si>
  <si>
    <t>Mean of ln(x).</t>
  </si>
  <si>
    <t>Standard deviation of ln(x).</t>
  </si>
  <si>
    <t>Cumulative Lognormal Distribution</t>
  </si>
  <si>
    <t>Probability Lognormal Distribution</t>
  </si>
  <si>
    <r>
      <t xml:space="preserve">Formula in cell B7: </t>
    </r>
    <r>
      <rPr>
        <b/>
        <sz val="11"/>
        <color theme="1"/>
        <rFont val="Calibri"/>
        <family val="2"/>
        <scheme val="minor"/>
      </rPr>
      <t>=LOGNORM.DIST(B2,B3,B4,TRUE)</t>
    </r>
  </si>
  <si>
    <r>
      <t xml:space="preserve">Formula in cell B8: </t>
    </r>
    <r>
      <rPr>
        <b/>
        <sz val="11"/>
        <color theme="1"/>
        <rFont val="Calibri"/>
        <family val="2"/>
        <scheme val="minor"/>
      </rPr>
      <t>=LOGNORM.DIST(B2,B3,B4,FALSE)</t>
    </r>
  </si>
  <si>
    <t>Function form</t>
  </si>
  <si>
    <t>Cumulative Lognormal Distribution Calculation</t>
  </si>
  <si>
    <t>Cumulative Lognormal Distribution (LOGNORM.DIST())</t>
  </si>
  <si>
    <t>Cumulative Lognormal Distribution (NORM.S.DIST())</t>
  </si>
  <si>
    <t>LN(x)</t>
  </si>
  <si>
    <t>Subject-wise Count Of Students With 100% Attendance</t>
  </si>
  <si>
    <t>Groups (FLOOR.MATH(Count,5))</t>
  </si>
  <si>
    <t>Singles (MOD(Count,5))</t>
  </si>
  <si>
    <t>Groups Symbol</t>
  </si>
  <si>
    <t>Singles Symbol</t>
  </si>
  <si>
    <t>Tally Chart</t>
  </si>
  <si>
    <t>IIII</t>
  </si>
  <si>
    <t xml:space="preserve">   I</t>
  </si>
  <si>
    <t>Philip</t>
  </si>
  <si>
    <t>Clarence</t>
  </si>
  <si>
    <t>Francis</t>
  </si>
  <si>
    <t>Terry</t>
  </si>
  <si>
    <t>Total Apples Collected</t>
  </si>
  <si>
    <t>Total Paint Tins Per Color</t>
  </si>
  <si>
    <t>Paint Color</t>
  </si>
  <si>
    <t>Total Votes Per Candidate</t>
  </si>
  <si>
    <t>Candidate 1</t>
  </si>
  <si>
    <t>Candidate 2</t>
  </si>
  <si>
    <t>Candidate 3</t>
  </si>
  <si>
    <t>Candidate 4</t>
  </si>
  <si>
    <t>Team-wise Points Scored</t>
  </si>
  <si>
    <t>Groups (ROUNDDOWN(Count/5,0)*5)</t>
  </si>
  <si>
    <t>Total Buckets Of Water To Fill A Tank</t>
  </si>
  <si>
    <t>Tank</t>
  </si>
  <si>
    <t>Tank 1</t>
  </si>
  <si>
    <t>Tank 2</t>
  </si>
  <si>
    <t>Tank 3</t>
  </si>
  <si>
    <t>Tank 4</t>
  </si>
  <si>
    <t>ABC</t>
  </si>
  <si>
    <t>Project</t>
  </si>
  <si>
    <t>Profit Rate in %</t>
  </si>
  <si>
    <t>TMC</t>
  </si>
  <si>
    <t>MNP</t>
  </si>
  <si>
    <t>CDS</t>
  </si>
  <si>
    <t>GVD</t>
  </si>
  <si>
    <t>Number of Ads Created</t>
  </si>
  <si>
    <t>Cost Per Ad in $</t>
  </si>
  <si>
    <t>Total Revenue Generated in $</t>
  </si>
  <si>
    <t>Ad Category</t>
  </si>
  <si>
    <t>Ad_1</t>
  </si>
  <si>
    <t>Ad_2</t>
  </si>
  <si>
    <t>Ad_3</t>
  </si>
  <si>
    <t>Ad_4</t>
  </si>
  <si>
    <t>Ad_5</t>
  </si>
  <si>
    <t>Product_1</t>
  </si>
  <si>
    <t>Product_2</t>
  </si>
  <si>
    <t>Product_3</t>
  </si>
  <si>
    <t>Product_4</t>
  </si>
  <si>
    <t>Product_5</t>
  </si>
  <si>
    <t>Product_6</t>
  </si>
  <si>
    <t>P4</t>
  </si>
  <si>
    <t>P5</t>
  </si>
  <si>
    <t>Per-day Stock Prices in $</t>
  </si>
  <si>
    <t>Covariance Matrix</t>
  </si>
  <si>
    <t>Variables</t>
  </si>
  <si>
    <t>Subject Score Out Of 100</t>
  </si>
  <si>
    <t>Roll Number</t>
  </si>
  <si>
    <t>R_11</t>
  </si>
  <si>
    <t>R_12</t>
  </si>
  <si>
    <t>R_13</t>
  </si>
  <si>
    <t>R_14</t>
  </si>
  <si>
    <t>R_15</t>
  </si>
  <si>
    <t>R_16</t>
  </si>
  <si>
    <t>R_17</t>
  </si>
  <si>
    <t>R_18</t>
  </si>
  <si>
    <t>R_19</t>
  </si>
  <si>
    <t>R_20</t>
  </si>
  <si>
    <t>Weight</t>
  </si>
  <si>
    <t>Age (years), Height (inches), Weight (lb)</t>
  </si>
  <si>
    <t>Stock ABC Returns</t>
  </si>
  <si>
    <t>Stock LCD Returns</t>
  </si>
  <si>
    <t>Stock-wise Returns in %</t>
  </si>
  <si>
    <t>Covariance Matrix (Manual)</t>
  </si>
  <si>
    <t>Covariance Matrix (Data Analysis ToolPak)</t>
  </si>
  <si>
    <t>Covariance Matrix Calculation (Manual)</t>
  </si>
  <si>
    <t>X̅</t>
  </si>
  <si>
    <t>Y̅</t>
  </si>
  <si>
    <t>(X - X̅)</t>
  </si>
  <si>
    <t>(Y - Y̅)</t>
  </si>
  <si>
    <t>Z̅</t>
  </si>
  <si>
    <t>(Z - Z̅)</t>
  </si>
  <si>
    <t>Expected Returns</t>
  </si>
  <si>
    <t>N/(N-1)</t>
  </si>
  <si>
    <t>Variance-Covariance Matrix</t>
  </si>
  <si>
    <t>Covariance Matrix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</si>
</sst>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164" formatCode="_([$€-2]* #,##0.00_);_([$€-2]* \(#,##0.00\);_([$€-2]* &quot;-&quot;??_)"/>
    <numFmt numFmtId="165" formatCode="&quot;$&quot;#,##0.00"/>
    <numFmt numFmtId="166" formatCode="[$-F400]h:mm:ss\ AM/PM"/>
    <numFmt numFmtId="167" formatCode="dddd"/>
    <numFmt numFmtId="168" formatCode="[$-409]m/d/yy\ h:mm\ AM/PM;@"/>
    <numFmt numFmtId="169" formatCode="[$-409]mmm\-yy;@"/>
    <numFmt numFmtId="170" formatCode="[$-409]mmmm\-yy;@"/>
    <numFmt numFmtId="171" formatCode="#\ ???/???"/>
    <numFmt numFmtId="172" formatCode="[$-F800]dddd\,\ mmmm\ dd\,\ yyyy"/>
    <numFmt numFmtId="173" formatCode="[$-409]mmmm\ d\,\ yyyy;@"/>
    <numFmt numFmtId="174" formatCode="#\ ?/10"/>
    <numFmt numFmtId="175" formatCode="#\ ??/50"/>
    <numFmt numFmtId="176" formatCode="0.000"/>
    <numFmt numFmtId="177" formatCode="0%;[Red]\-0%"/>
    <numFmt numFmtId="178" formatCode="0.0%"/>
    <numFmt numFmtId="179" formatCode="0.00000"/>
    <numFmt numFmtId="180" formatCode="00%;[Red]\-0.00%"/>
    <numFmt numFmtId="181" formatCode="&quot;$&quot;#,##0"/>
    <numFmt numFmtId="182" formatCode="0.0000"/>
  </numFmts>
  <fonts count="54">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1"/>
      <color theme="1"/>
      <name val="Calibri"/>
      <family val="2"/>
    </font>
    <font>
      <b/>
      <sz val="11"/>
      <color theme="1"/>
      <name val="Calibri"/>
      <family val="2"/>
      <scheme val="minor"/>
    </font>
    <font>
      <sz val="11"/>
      <color rgb="FF222222"/>
      <name val="Calibri"/>
      <family val="2"/>
      <scheme val="minor"/>
    </font>
    <font>
      <sz val="11"/>
      <color rgb="FF333333"/>
      <name val="Calibri"/>
      <family val="2"/>
      <scheme val="minor"/>
    </font>
    <font>
      <sz val="11"/>
      <name val="Calibri"/>
      <family val="2"/>
      <scheme val="minor"/>
    </font>
    <font>
      <sz val="14"/>
      <color theme="1"/>
      <name val="Code39"/>
    </font>
    <font>
      <sz val="24"/>
      <color theme="1"/>
      <name val="Code 128"/>
    </font>
    <font>
      <sz val="20"/>
      <color rgb="FF000000"/>
      <name val="Code39"/>
    </font>
    <font>
      <sz val="24"/>
      <color theme="1"/>
      <name val="Code39"/>
    </font>
    <font>
      <sz val="11"/>
      <color rgb="FF202124"/>
      <name val="Calibri"/>
      <family val="2"/>
      <scheme val="minor"/>
    </font>
    <font>
      <sz val="36"/>
      <color theme="1"/>
      <name val="barcode font"/>
    </font>
    <font>
      <b/>
      <sz val="11"/>
      <color rgb="FF000000"/>
      <name val="Calibri"/>
      <family val="2"/>
      <scheme val="minor"/>
    </font>
    <font>
      <sz val="10"/>
      <color rgb="FF212121"/>
      <name val="Segoe UI"/>
      <family val="2"/>
    </font>
    <font>
      <b/>
      <sz val="11"/>
      <color rgb="FF212121"/>
      <name val="Calibri"/>
      <family val="2"/>
      <scheme val="minor"/>
    </font>
    <font>
      <b/>
      <i/>
      <sz val="12"/>
      <color theme="1"/>
      <name val="Calibri"/>
      <family val="2"/>
      <scheme val="minor"/>
    </font>
    <font>
      <b/>
      <sz val="11"/>
      <color theme="0"/>
      <name val="Calibri"/>
      <family val="2"/>
    </font>
    <font>
      <b/>
      <sz val="10"/>
      <color rgb="FF212121"/>
      <name val="Segoe UI"/>
      <family val="2"/>
    </font>
    <font>
      <b/>
      <sz val="12"/>
      <color theme="1"/>
      <name val="Calibri"/>
      <family val="2"/>
      <scheme val="minor"/>
    </font>
    <font>
      <vertAlign val="superscript"/>
      <sz val="11"/>
      <color theme="1"/>
      <name val="Calibri"/>
      <family val="2"/>
      <scheme val="minor"/>
    </font>
    <font>
      <sz val="8"/>
      <color rgb="FF58585A"/>
      <name val="Courier New"/>
      <family val="3"/>
    </font>
    <font>
      <sz val="9"/>
      <color rgb="FF2C2C2D"/>
      <name val="Times New Roman"/>
      <family val="1"/>
    </font>
    <font>
      <sz val="12"/>
      <color theme="1"/>
      <name val="Calibri"/>
      <family val="2"/>
      <scheme val="minor"/>
    </font>
    <font>
      <sz val="9"/>
      <color rgb="FF57595D"/>
      <name val="Segoe UI"/>
      <family val="2"/>
    </font>
    <font>
      <b/>
      <vertAlign val="superscript"/>
      <sz val="11"/>
      <color theme="0"/>
      <name val="Calibri"/>
      <family val="2"/>
      <scheme val="minor"/>
    </font>
    <font>
      <b/>
      <sz val="9"/>
      <color rgb="FF363636"/>
      <name val="Segoe UI"/>
      <family val="2"/>
    </font>
    <font>
      <sz val="8"/>
      <color rgb="FF1E1E1E"/>
      <name val="Segoe UI"/>
      <family val="2"/>
    </font>
    <font>
      <b/>
      <sz val="11"/>
      <name val="Calibri"/>
      <family val="2"/>
      <scheme val="minor"/>
    </font>
    <font>
      <sz val="11"/>
      <color rgb="FF0A0736"/>
      <name val="Calibri"/>
      <family val="2"/>
      <scheme val="minor"/>
    </font>
    <font>
      <sz val="11"/>
      <color rgb="FF404040"/>
      <name val="Calibri"/>
      <family val="2"/>
      <scheme val="minor"/>
    </font>
    <font>
      <b/>
      <sz val="10"/>
      <color rgb="FFC4690E"/>
      <name val="Arial Unicode MS"/>
    </font>
    <font>
      <sz val="11"/>
      <color theme="0"/>
      <name val="Calibri"/>
      <family val="2"/>
      <scheme val="minor"/>
    </font>
    <font>
      <sz val="8"/>
      <color rgb="FF202124"/>
      <name val="Arial"/>
      <family val="2"/>
    </font>
    <font>
      <sz val="11"/>
      <name val="Wingdings"/>
      <charset val="2"/>
    </font>
    <font>
      <b/>
      <sz val="11"/>
      <color theme="1"/>
      <name val="Century Gothic"/>
      <family val="2"/>
    </font>
    <font>
      <b/>
      <sz val="11"/>
      <name val="Webdings"/>
      <family val="1"/>
      <charset val="2"/>
    </font>
    <font>
      <b/>
      <vertAlign val="subscript"/>
      <sz val="11"/>
      <color theme="0"/>
      <name val="Calibri"/>
      <family val="2"/>
      <scheme val="minor"/>
    </font>
    <font>
      <sz val="10"/>
      <color rgb="FF141415"/>
      <name val="Arial"/>
      <family val="2"/>
    </font>
    <font>
      <vertAlign val="subscript"/>
      <sz val="11"/>
      <color theme="1"/>
      <name val="Calibri"/>
      <family val="2"/>
      <scheme val="minor"/>
    </font>
    <font>
      <sz val="7"/>
      <color rgb="FF454545"/>
      <name val="Courier New"/>
      <family val="3"/>
    </font>
    <font>
      <u/>
      <sz val="11"/>
      <color theme="10"/>
      <name val="Calibri"/>
      <family val="2"/>
      <scheme val="minor"/>
    </font>
    <font>
      <b/>
      <u/>
      <sz val="11"/>
      <color theme="10"/>
      <name val="Calibri"/>
      <family val="2"/>
      <scheme val="minor"/>
    </font>
    <font>
      <sz val="7"/>
      <color rgb="FF454545"/>
      <name val="Courier New"/>
      <family val="3"/>
    </font>
    <font>
      <i/>
      <sz val="11"/>
      <color theme="1"/>
      <name val="Calibri"/>
      <family val="2"/>
      <scheme val="minor"/>
    </font>
    <font>
      <sz val="11"/>
      <color rgb="FF1A1D26"/>
      <name val="Calibri"/>
      <family val="2"/>
      <scheme val="minor"/>
    </font>
    <font>
      <b/>
      <vertAlign val="superscript"/>
      <sz val="11"/>
      <color theme="0"/>
      <name val="Calibri"/>
      <family val="2"/>
    </font>
    <font>
      <vertAlign val="subscript"/>
      <sz val="11"/>
      <color theme="1"/>
      <name val="Calibri"/>
      <family val="2"/>
    </font>
    <font>
      <b/>
      <sz val="7"/>
      <color rgb="FF020202"/>
      <name val="Inherit"/>
    </font>
    <font>
      <sz val="36"/>
      <color theme="1"/>
      <name val="Calibri Light"/>
      <family val="2"/>
      <scheme val="major"/>
    </font>
    <font>
      <b/>
      <sz val="36"/>
      <color theme="1"/>
      <name val="Calibri Light"/>
      <family val="2"/>
      <scheme val="major"/>
    </font>
    <font>
      <sz val="11"/>
      <color rgb="FF212529"/>
      <name val="Calibri"/>
      <family val="2"/>
      <scheme val="minor"/>
    </font>
  </fonts>
  <fills count="7">
    <fill>
      <patternFill patternType="none"/>
    </fill>
    <fill>
      <patternFill patternType="gray125"/>
    </fill>
    <fill>
      <patternFill patternType="solid">
        <fgColor rgb="FF0CA0A0"/>
        <bgColor indexed="64"/>
      </patternFill>
    </fill>
    <fill>
      <patternFill patternType="solid">
        <fgColor rgb="FFFFFFFF"/>
        <bgColor indexed="64"/>
      </patternFill>
    </fill>
    <fill>
      <patternFill patternType="solid">
        <fgColor rgb="FFF9F9F9"/>
        <bgColor indexed="64"/>
      </patternFill>
    </fill>
    <fill>
      <patternFill patternType="solid">
        <fgColor theme="0"/>
        <bgColor indexed="64"/>
      </patternFill>
    </fill>
    <fill>
      <patternFill patternType="solid">
        <fgColor rgb="FF92D05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diagonal/>
    </border>
    <border>
      <left style="mediumDashed">
        <color rgb="FFEBEBEB"/>
      </left>
      <right style="mediumDashed">
        <color rgb="FFEBEBEB"/>
      </right>
      <top style="mediumDashed">
        <color rgb="FFEBEBEB"/>
      </top>
      <bottom style="mediumDashed">
        <color rgb="FFEBEBEB"/>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43" fillId="0" borderId="0" applyNumberFormat="0" applyFill="0" applyBorder="0" applyAlignment="0" applyProtection="0"/>
  </cellStyleXfs>
  <cellXfs count="474">
    <xf numFmtId="0" fontId="0" fillId="0" borderId="0" xfId="0"/>
    <xf numFmtId="0" fontId="2" fillId="2" borderId="1" xfId="0"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49" fontId="4" fillId="0" borderId="1" xfId="0" applyNumberFormat="1" applyFont="1" applyBorder="1"/>
    <xf numFmtId="0" fontId="4" fillId="0" borderId="1" xfId="0"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2" fillId="2" borderId="1" xfId="0" applyFont="1" applyFill="1" applyBorder="1" applyAlignment="1">
      <alignment horizontal="center" vertical="center" wrapText="1"/>
    </xf>
    <xf numFmtId="0" fontId="2" fillId="2" borderId="0" xfId="0" applyFont="1" applyFill="1" applyAlignment="1">
      <alignment horizontal="center" vertical="center"/>
    </xf>
    <xf numFmtId="0" fontId="6" fillId="4" borderId="1" xfId="0" applyFont="1" applyFill="1" applyBorder="1" applyAlignment="1">
      <alignment horizontal="center" vertical="top"/>
    </xf>
    <xf numFmtId="3" fontId="6" fillId="4" borderId="1" xfId="0" applyNumberFormat="1" applyFont="1" applyFill="1" applyBorder="1" applyAlignment="1">
      <alignment horizontal="center" vertical="top"/>
    </xf>
    <xf numFmtId="0" fontId="6" fillId="3" borderId="1" xfId="0" applyFont="1" applyFill="1" applyBorder="1" applyAlignment="1">
      <alignment horizontal="center" vertical="top"/>
    </xf>
    <xf numFmtId="3" fontId="6" fillId="3" borderId="1" xfId="0" applyNumberFormat="1" applyFont="1" applyFill="1" applyBorder="1" applyAlignment="1">
      <alignment horizontal="center" vertical="top"/>
    </xf>
    <xf numFmtId="0" fontId="0" fillId="0" borderId="0" xfId="0" applyAlignment="1">
      <alignment horizontal="center"/>
    </xf>
    <xf numFmtId="10" fontId="0" fillId="0" borderId="1" xfId="0" applyNumberFormat="1" applyBorder="1" applyAlignment="1">
      <alignment horizontal="center"/>
    </xf>
    <xf numFmtId="0" fontId="5" fillId="0" borderId="1" xfId="0" applyFont="1" applyBorder="1" applyAlignment="1" applyProtection="1">
      <alignment horizontal="center"/>
      <protection hidden="1"/>
    </xf>
    <xf numFmtId="0" fontId="5" fillId="0" borderId="1" xfId="0" quotePrefix="1" applyFont="1" applyBorder="1" applyAlignment="1" applyProtection="1">
      <alignment horizontal="center"/>
      <protection hidden="1"/>
    </xf>
    <xf numFmtId="0" fontId="5" fillId="0" borderId="1" xfId="0" quotePrefix="1" applyFont="1" applyBorder="1" applyAlignment="1">
      <alignment horizontal="center"/>
    </xf>
    <xf numFmtId="0" fontId="7" fillId="0" borderId="1" xfId="0" applyFont="1" applyBorder="1" applyAlignment="1">
      <alignment horizontal="center"/>
    </xf>
    <xf numFmtId="14" fontId="0" fillId="0" borderId="1" xfId="0" applyNumberForma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2" fillId="2" borderId="2" xfId="0" applyFont="1" applyFill="1" applyBorder="1" applyAlignment="1">
      <alignment horizontal="center" vertical="center"/>
    </xf>
    <xf numFmtId="0" fontId="8" fillId="0" borderId="1" xfId="0" applyFont="1" applyBorder="1" applyAlignment="1">
      <alignment horizontal="center" vertical="center"/>
    </xf>
    <xf numFmtId="49" fontId="0" fillId="0" borderId="1" xfId="0" applyNumberFormat="1" applyBorder="1" applyAlignment="1">
      <alignment horizontal="center"/>
    </xf>
    <xf numFmtId="49" fontId="9" fillId="0" borderId="1" xfId="0" applyNumberFormat="1" applyFont="1" applyBorder="1" applyAlignment="1">
      <alignment horizontal="center"/>
    </xf>
    <xf numFmtId="49" fontId="10" fillId="0" borderId="1" xfId="0" applyNumberFormat="1" applyFont="1" applyBorder="1" applyAlignment="1">
      <alignment horizontal="center"/>
    </xf>
    <xf numFmtId="0" fontId="10" fillId="0" borderId="0" xfId="0" applyFont="1"/>
    <xf numFmtId="0" fontId="10" fillId="0" borderId="1" xfId="0" applyFont="1" applyBorder="1" applyAlignment="1">
      <alignment horizontal="center"/>
    </xf>
    <xf numFmtId="0" fontId="11" fillId="0" borderId="0" xfId="0" applyFont="1"/>
    <xf numFmtId="49" fontId="12" fillId="0" borderId="1" xfId="0" applyNumberFormat="1" applyFont="1" applyBorder="1" applyAlignment="1">
      <alignment horizontal="center" vertical="center"/>
    </xf>
    <xf numFmtId="49" fontId="14" fillId="0" borderId="1" xfId="0" applyNumberFormat="1" applyFont="1" applyBorder="1" applyAlignment="1">
      <alignment horizontal="center"/>
    </xf>
    <xf numFmtId="0" fontId="13" fillId="0" borderId="1" xfId="0" applyFont="1" applyBorder="1" applyAlignment="1">
      <alignment horizontal="center" vertical="center"/>
    </xf>
    <xf numFmtId="14"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0" xfId="0" quotePrefix="1"/>
    <xf numFmtId="0" fontId="15" fillId="0" borderId="1" xfId="0" applyFont="1" applyBorder="1" applyAlignment="1">
      <alignment horizontal="center"/>
    </xf>
    <xf numFmtId="0" fontId="15"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0" fillId="0" borderId="3" xfId="0" applyBorder="1" applyAlignment="1">
      <alignment horizontal="center"/>
    </xf>
    <xf numFmtId="0" fontId="2"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xf>
    <xf numFmtId="14" fontId="0" fillId="0" borderId="0" xfId="0" applyNumberFormat="1"/>
    <xf numFmtId="0" fontId="16" fillId="0" borderId="0" xfId="0" applyFont="1"/>
    <xf numFmtId="19" fontId="0" fillId="0" borderId="1" xfId="0" applyNumberFormat="1" applyBorder="1" applyAlignment="1">
      <alignment horizontal="center"/>
    </xf>
    <xf numFmtId="0" fontId="17" fillId="0" borderId="1" xfId="0" applyFont="1" applyBorder="1" applyAlignment="1">
      <alignment horizontal="center"/>
    </xf>
    <xf numFmtId="0" fontId="5" fillId="0" borderId="1" xfId="0" applyFont="1" applyBorder="1" applyAlignment="1">
      <alignment horizontal="justify"/>
    </xf>
    <xf numFmtId="165" fontId="0" fillId="0" borderId="1" xfId="0" applyNumberFormat="1" applyBorder="1" applyAlignment="1">
      <alignment horizontal="center"/>
    </xf>
    <xf numFmtId="0" fontId="18" fillId="0" borderId="0" xfId="0" applyFont="1" applyAlignment="1">
      <alignment horizontal="justify" vertical="center"/>
    </xf>
    <xf numFmtId="0" fontId="0" fillId="0" borderId="1" xfId="0" applyBorder="1"/>
    <xf numFmtId="0" fontId="13" fillId="0" borderId="1" xfId="0" applyFont="1" applyBorder="1" applyAlignment="1">
      <alignment horizontal="center"/>
    </xf>
    <xf numFmtId="0" fontId="15" fillId="0" borderId="1" xfId="0" applyFont="1" applyBorder="1" applyAlignment="1">
      <alignment horizontal="center" vertical="center"/>
    </xf>
    <xf numFmtId="0" fontId="2" fillId="2" borderId="7" xfId="0" applyFont="1" applyFill="1" applyBorder="1" applyAlignment="1">
      <alignment horizontal="center" vertical="center"/>
    </xf>
    <xf numFmtId="15" fontId="0" fillId="0" borderId="1" xfId="0" applyNumberFormat="1" applyBorder="1" applyAlignment="1">
      <alignment horizontal="center"/>
    </xf>
    <xf numFmtId="15" fontId="5" fillId="0" borderId="1" xfId="0" applyNumberFormat="1" applyFont="1" applyBorder="1" applyAlignment="1">
      <alignment horizontal="center"/>
    </xf>
    <xf numFmtId="0" fontId="0" fillId="0" borderId="5" xfId="0" applyBorder="1" applyAlignment="1">
      <alignment horizontal="center"/>
    </xf>
    <xf numFmtId="10" fontId="5" fillId="0" borderId="1" xfId="0" applyNumberFormat="1" applyFont="1" applyBorder="1" applyAlignment="1">
      <alignment horizontal="center"/>
    </xf>
    <xf numFmtId="19" fontId="0" fillId="0" borderId="0" xfId="0" applyNumberFormat="1"/>
    <xf numFmtId="0" fontId="3" fillId="0" borderId="1" xfId="0" applyFont="1" applyBorder="1" applyAlignment="1">
      <alignment horizontal="center"/>
    </xf>
    <xf numFmtId="0" fontId="0" fillId="0" borderId="1" xfId="0" applyBorder="1" applyAlignment="1">
      <alignment horizontal="left"/>
    </xf>
    <xf numFmtId="14" fontId="5" fillId="0" borderId="1" xfId="0" applyNumberFormat="1" applyFont="1" applyBorder="1" applyAlignment="1">
      <alignment horizontal="center"/>
    </xf>
    <xf numFmtId="165" fontId="5" fillId="0" borderId="1" xfId="0" applyNumberFormat="1" applyFont="1" applyBorder="1" applyAlignment="1">
      <alignment horizontal="center"/>
    </xf>
    <xf numFmtId="0" fontId="2" fillId="2" borderId="1" xfId="0" applyFont="1" applyFill="1" applyBorder="1" applyAlignment="1">
      <alignment vertical="center"/>
    </xf>
    <xf numFmtId="14" fontId="0" fillId="0" borderId="8" xfId="0" applyNumberFormat="1" applyBorder="1" applyAlignment="1">
      <alignment horizontal="center"/>
    </xf>
    <xf numFmtId="0" fontId="5" fillId="0" borderId="3" xfId="0" applyFont="1"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4" xfId="0" applyBorder="1"/>
    <xf numFmtId="0" fontId="0" fillId="0" borderId="2" xfId="0" applyBorder="1"/>
    <xf numFmtId="0" fontId="0" fillId="0" borderId="5" xfId="0" applyBorder="1"/>
    <xf numFmtId="22" fontId="0" fillId="0" borderId="0" xfId="0" applyNumberFormat="1"/>
    <xf numFmtId="22" fontId="0" fillId="0" borderId="1" xfId="0" applyNumberFormat="1" applyBorder="1" applyAlignment="1">
      <alignment horizontal="center"/>
    </xf>
    <xf numFmtId="22" fontId="5" fillId="0" borderId="1" xfId="0" applyNumberFormat="1" applyFont="1" applyBorder="1" applyAlignment="1">
      <alignment horizontal="center"/>
    </xf>
    <xf numFmtId="166" fontId="20" fillId="0" borderId="0" xfId="0" applyNumberFormat="1" applyFont="1"/>
    <xf numFmtId="20" fontId="5" fillId="0" borderId="1" xfId="0" applyNumberFormat="1" applyFont="1" applyBorder="1" applyAlignment="1">
      <alignment horizontal="center"/>
    </xf>
    <xf numFmtId="166" fontId="0" fillId="0" borderId="0" xfId="0" applyNumberFormat="1"/>
    <xf numFmtId="9" fontId="0" fillId="0" borderId="1" xfId="0" applyNumberFormat="1" applyBorder="1" applyAlignment="1">
      <alignment horizontal="center"/>
    </xf>
    <xf numFmtId="6" fontId="0" fillId="0" borderId="1" xfId="0" applyNumberFormat="1" applyBorder="1" applyAlignment="1">
      <alignment horizontal="center"/>
    </xf>
    <xf numFmtId="8" fontId="5" fillId="0" borderId="1" xfId="0" applyNumberFormat="1" applyFont="1" applyBorder="1" applyAlignment="1">
      <alignment horizontal="center"/>
    </xf>
    <xf numFmtId="8" fontId="0" fillId="0" borderId="0" xfId="0" applyNumberFormat="1"/>
    <xf numFmtId="0" fontId="5" fillId="0" borderId="5" xfId="0" applyFont="1" applyBorder="1" applyAlignment="1">
      <alignment horizontal="center"/>
    </xf>
    <xf numFmtId="6" fontId="5" fillId="0" borderId="1" xfId="0" applyNumberFormat="1" applyFont="1" applyBorder="1" applyAlignment="1">
      <alignment horizontal="center"/>
    </xf>
    <xf numFmtId="9" fontId="5" fillId="0" borderId="1" xfId="0" applyNumberFormat="1" applyFont="1" applyBorder="1" applyAlignment="1">
      <alignment horizontal="center"/>
    </xf>
    <xf numFmtId="0" fontId="0" fillId="0" borderId="10" xfId="0" applyBorder="1"/>
    <xf numFmtId="0" fontId="5" fillId="0" borderId="7" xfId="0" applyFont="1" applyBorder="1" applyAlignment="1">
      <alignment horizontal="center"/>
    </xf>
    <xf numFmtId="0" fontId="5" fillId="0" borderId="10" xfId="0" applyFont="1" applyBorder="1" applyAlignment="1">
      <alignment horizontal="center"/>
    </xf>
    <xf numFmtId="0" fontId="0" fillId="0" borderId="7" xfId="0" applyBorder="1"/>
    <xf numFmtId="0" fontId="0" fillId="0" borderId="14" xfId="0" applyBorder="1"/>
    <xf numFmtId="0" fontId="0" fillId="0" borderId="6" xfId="0" applyBorder="1"/>
    <xf numFmtId="3" fontId="0" fillId="0" borderId="1" xfId="0" applyNumberFormat="1" applyBorder="1" applyAlignment="1">
      <alignment horizontal="center"/>
    </xf>
    <xf numFmtId="0" fontId="21" fillId="0" borderId="1" xfId="0" applyFont="1" applyBorder="1" applyAlignment="1">
      <alignment horizontal="center" vertical="center"/>
    </xf>
    <xf numFmtId="6" fontId="13" fillId="0" borderId="1" xfId="0" applyNumberFormat="1" applyFont="1" applyBorder="1" applyAlignment="1">
      <alignment horizont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23" fillId="0" borderId="0" xfId="0" applyFont="1" applyAlignment="1">
      <alignment horizontal="left" vertical="center" indent="1"/>
    </xf>
    <xf numFmtId="0" fontId="24" fillId="0" borderId="0" xfId="0" applyFont="1"/>
    <xf numFmtId="0" fontId="25" fillId="0" borderId="0" xfId="0" applyFont="1" applyAlignment="1">
      <alignment horizontal="justify" vertical="center"/>
    </xf>
    <xf numFmtId="0" fontId="26" fillId="0" borderId="0" xfId="0" applyFont="1"/>
    <xf numFmtId="18" fontId="0" fillId="0" borderId="1" xfId="0" applyNumberFormat="1" applyBorder="1" applyAlignment="1">
      <alignment horizontal="center"/>
    </xf>
    <xf numFmtId="165" fontId="0" fillId="0" borderId="0" xfId="0" applyNumberFormat="1"/>
    <xf numFmtId="0" fontId="0" fillId="0" borderId="1" xfId="0" applyBorder="1" applyAlignment="1">
      <alignment horizontal="center" vertical="top" wrapText="1"/>
    </xf>
    <xf numFmtId="0" fontId="0" fillId="0" borderId="1" xfId="0" applyBorder="1" applyAlignment="1">
      <alignment horizontal="center" wrapText="1"/>
    </xf>
    <xf numFmtId="0" fontId="5" fillId="0" borderId="1" xfId="0" applyFont="1" applyBorder="1" applyAlignment="1">
      <alignment horizontal="center" wrapText="1"/>
    </xf>
    <xf numFmtId="14" fontId="0" fillId="0" borderId="1" xfId="0" applyNumberFormat="1" applyBorder="1"/>
    <xf numFmtId="167" fontId="0" fillId="0" borderId="1" xfId="0" applyNumberFormat="1" applyBorder="1" applyAlignment="1">
      <alignment horizontal="center"/>
    </xf>
    <xf numFmtId="167" fontId="5" fillId="0" borderId="1" xfId="0" applyNumberFormat="1" applyFont="1" applyBorder="1" applyAlignment="1">
      <alignment horizontal="center"/>
    </xf>
    <xf numFmtId="19" fontId="5" fillId="0" borderId="1" xfId="0" applyNumberFormat="1" applyFont="1" applyBorder="1" applyAlignment="1">
      <alignment horizontal="center"/>
    </xf>
    <xf numFmtId="16" fontId="0" fillId="0" borderId="0" xfId="0" applyNumberFormat="1"/>
    <xf numFmtId="12" fontId="0" fillId="0" borderId="1" xfId="0" applyNumberFormat="1" applyBorder="1" applyAlignment="1">
      <alignment horizontal="center"/>
    </xf>
    <xf numFmtId="0" fontId="28" fillId="0" borderId="1" xfId="0" applyFont="1" applyBorder="1" applyAlignment="1">
      <alignment horizontal="center"/>
    </xf>
    <xf numFmtId="0" fontId="5" fillId="0" borderId="1" xfId="0" applyFont="1" applyBorder="1" applyAlignment="1">
      <alignment horizontal="left" wrapText="1"/>
    </xf>
    <xf numFmtId="0" fontId="5" fillId="0" borderId="1" xfId="0" quotePrefix="1" applyFont="1" applyBorder="1" applyAlignment="1">
      <alignment horizontal="center" vertical="center" wrapText="1"/>
    </xf>
    <xf numFmtId="0" fontId="0" fillId="0" borderId="11" xfId="0" applyBorder="1"/>
    <xf numFmtId="0" fontId="0" fillId="0" borderId="13" xfId="0" applyBorder="1"/>
    <xf numFmtId="0" fontId="0" fillId="0" borderId="15" xfId="0" applyBorder="1"/>
    <xf numFmtId="0" fontId="0" fillId="0" borderId="0" xfId="0" applyAlignment="1">
      <alignment wrapText="1"/>
    </xf>
    <xf numFmtId="0" fontId="4" fillId="0" borderId="0" xfId="0" applyFont="1"/>
    <xf numFmtId="0" fontId="0" fillId="0" borderId="1" xfId="0" applyBorder="1" applyAlignment="1">
      <alignment wrapText="1"/>
    </xf>
    <xf numFmtId="0" fontId="0" fillId="0" borderId="1" xfId="0" applyBorder="1" applyAlignment="1">
      <alignment horizontal="left" vertical="center"/>
    </xf>
    <xf numFmtId="0" fontId="29" fillId="0" borderId="0" xfId="0" applyFont="1"/>
    <xf numFmtId="0" fontId="0" fillId="0" borderId="1" xfId="0" applyBorder="1" applyAlignment="1">
      <alignment horizontal="left" wrapText="1"/>
    </xf>
    <xf numFmtId="17" fontId="0" fillId="0" borderId="1" xfId="0" applyNumberFormat="1" applyBorder="1" applyAlignment="1">
      <alignment horizontal="center"/>
    </xf>
    <xf numFmtId="0" fontId="30" fillId="0" borderId="1" xfId="0" applyFont="1" applyBorder="1" applyAlignment="1">
      <alignment horizontal="center"/>
    </xf>
    <xf numFmtId="9" fontId="5" fillId="0" borderId="1" xfId="2" applyFont="1" applyBorder="1" applyAlignment="1">
      <alignment horizontal="center"/>
    </xf>
    <xf numFmtId="0" fontId="31" fillId="0" borderId="1" xfId="0" applyFont="1" applyBorder="1" applyAlignment="1">
      <alignment horizontal="center"/>
    </xf>
    <xf numFmtId="0" fontId="5" fillId="0" borderId="0" xfId="0" applyFont="1"/>
    <xf numFmtId="167" fontId="0" fillId="0" borderId="0" xfId="0" applyNumberFormat="1"/>
    <xf numFmtId="0" fontId="32" fillId="0" borderId="1" xfId="0" applyFont="1" applyBorder="1" applyAlignment="1">
      <alignment horizontal="center"/>
    </xf>
    <xf numFmtId="0" fontId="0" fillId="0" borderId="8" xfId="0" applyBorder="1" applyAlignment="1">
      <alignment horizontal="center"/>
    </xf>
    <xf numFmtId="0" fontId="5" fillId="0" borderId="1" xfId="0" quotePrefix="1" applyFont="1" applyBorder="1"/>
    <xf numFmtId="8" fontId="0" fillId="0" borderId="1" xfId="0" applyNumberFormat="1" applyBorder="1" applyAlignment="1">
      <alignment horizontal="center"/>
    </xf>
    <xf numFmtId="0" fontId="33" fillId="0" borderId="0" xfId="0" applyFont="1"/>
    <xf numFmtId="0" fontId="7" fillId="3" borderId="1" xfId="0" applyFont="1" applyFill="1" applyBorder="1" applyAlignment="1">
      <alignment horizontal="center" vertical="center" wrapText="1"/>
    </xf>
    <xf numFmtId="11" fontId="0" fillId="0" borderId="1" xfId="0" applyNumberFormat="1" applyBorder="1" applyAlignment="1">
      <alignment horizontal="center"/>
    </xf>
    <xf numFmtId="168" fontId="0" fillId="0" borderId="1" xfId="0" applyNumberFormat="1" applyBorder="1" applyAlignment="1">
      <alignment horizontal="center"/>
    </xf>
    <xf numFmtId="168" fontId="5" fillId="0" borderId="1" xfId="0" applyNumberFormat="1" applyFont="1" applyBorder="1" applyAlignment="1">
      <alignment horizontal="center"/>
    </xf>
    <xf numFmtId="11" fontId="5" fillId="0" borderId="1" xfId="0" applyNumberFormat="1" applyFont="1" applyBorder="1" applyAlignment="1">
      <alignment horizontal="center"/>
    </xf>
    <xf numFmtId="9" fontId="0" fillId="0" borderId="0" xfId="0" applyNumberFormat="1"/>
    <xf numFmtId="10" fontId="0" fillId="0" borderId="0" xfId="0" applyNumberFormat="1"/>
    <xf numFmtId="0" fontId="5" fillId="0" borderId="1" xfId="0" applyFont="1" applyBorder="1"/>
    <xf numFmtId="0" fontId="35" fillId="0" borderId="0" xfId="0" applyFont="1"/>
    <xf numFmtId="0" fontId="30" fillId="5" borderId="1" xfId="0" applyFont="1" applyFill="1" applyBorder="1"/>
    <xf numFmtId="0" fontId="36" fillId="0" borderId="1" xfId="0" applyFont="1" applyBorder="1"/>
    <xf numFmtId="0" fontId="37" fillId="0" borderId="1" xfId="0" applyFont="1" applyBorder="1" applyAlignment="1">
      <alignment horizontal="center"/>
    </xf>
    <xf numFmtId="14" fontId="8" fillId="0" borderId="1" xfId="0" applyNumberFormat="1" applyFont="1" applyBorder="1" applyAlignment="1">
      <alignment horizontal="center"/>
    </xf>
    <xf numFmtId="9" fontId="8" fillId="0" borderId="1" xfId="0" applyNumberFormat="1" applyFont="1" applyBorder="1" applyAlignment="1">
      <alignment horizontal="center"/>
    </xf>
    <xf numFmtId="6" fontId="8" fillId="0" borderId="1" xfId="0" applyNumberFormat="1" applyFont="1" applyBorder="1" applyAlignment="1">
      <alignment horizontal="center"/>
    </xf>
    <xf numFmtId="0" fontId="8" fillId="0" borderId="1" xfId="0" applyFont="1" applyBorder="1" applyAlignment="1">
      <alignment horizontal="center"/>
    </xf>
    <xf numFmtId="6" fontId="0" fillId="0" borderId="0" xfId="0" applyNumberFormat="1"/>
    <xf numFmtId="0" fontId="0" fillId="0" borderId="17" xfId="0" applyBorder="1"/>
    <xf numFmtId="0" fontId="0" fillId="0" borderId="18" xfId="0" applyBorder="1"/>
    <xf numFmtId="0" fontId="0" fillId="0" borderId="19" xfId="0" applyBorder="1" applyAlignment="1">
      <alignment horizontal="center"/>
    </xf>
    <xf numFmtId="165" fontId="0" fillId="0" borderId="20" xfId="0" applyNumberFormat="1" applyBorder="1" applyAlignment="1">
      <alignment horizontal="center"/>
    </xf>
    <xf numFmtId="0" fontId="0" fillId="0" borderId="20" xfId="0" applyBorder="1" applyAlignment="1">
      <alignment horizontal="center"/>
    </xf>
    <xf numFmtId="0" fontId="2" fillId="2" borderId="16" xfId="0" applyFont="1" applyFill="1" applyBorder="1" applyAlignment="1">
      <alignment horizontal="center" vertical="center"/>
    </xf>
    <xf numFmtId="0" fontId="0" fillId="0" borderId="29" xfId="0" applyBorder="1" applyAlignment="1">
      <alignment horizontal="center"/>
    </xf>
    <xf numFmtId="0" fontId="2" fillId="2" borderId="24" xfId="0" applyFont="1" applyFill="1" applyBorder="1" applyAlignment="1">
      <alignment horizontal="center" vertical="center"/>
    </xf>
    <xf numFmtId="0" fontId="2" fillId="2" borderId="25" xfId="0" applyFont="1" applyFill="1" applyBorder="1" applyAlignment="1">
      <alignment horizontal="center" vertical="center"/>
    </xf>
    <xf numFmtId="9" fontId="0" fillId="0" borderId="30" xfId="0" applyNumberFormat="1" applyBorder="1" applyAlignment="1">
      <alignment horizont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29" xfId="0" applyFont="1" applyBorder="1" applyAlignment="1">
      <alignment horizontal="center" vertical="center"/>
    </xf>
    <xf numFmtId="0" fontId="0" fillId="0" borderId="23" xfId="0" applyBorder="1" applyAlignment="1">
      <alignment horizontal="center"/>
    </xf>
    <xf numFmtId="0" fontId="0" fillId="0" borderId="31" xfId="0" applyBorder="1"/>
    <xf numFmtId="0" fontId="0" fillId="0" borderId="32" xfId="0" applyBorder="1"/>
    <xf numFmtId="0" fontId="0" fillId="0" borderId="22" xfId="0" applyBorder="1" applyAlignment="1">
      <alignment horizontal="center"/>
    </xf>
    <xf numFmtId="0" fontId="2" fillId="2" borderId="33" xfId="0" applyFont="1" applyFill="1" applyBorder="1" applyAlignment="1">
      <alignment horizontal="center" vertical="center"/>
    </xf>
    <xf numFmtId="0" fontId="0" fillId="0" borderId="30" xfId="0" applyBorder="1" applyAlignment="1">
      <alignment horizontal="center"/>
    </xf>
    <xf numFmtId="0" fontId="0" fillId="0" borderId="21" xfId="0" applyBorder="1" applyAlignment="1">
      <alignment horizontal="center"/>
    </xf>
    <xf numFmtId="0" fontId="5" fillId="0" borderId="19"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0" xfId="0" applyFont="1" applyBorder="1" applyAlignment="1">
      <alignment horizontal="center"/>
    </xf>
    <xf numFmtId="0" fontId="5" fillId="0" borderId="23" xfId="0" applyFont="1" applyBorder="1" applyAlignment="1">
      <alignment horizontal="center"/>
    </xf>
    <xf numFmtId="0" fontId="2" fillId="2" borderId="19" xfId="0" applyFont="1" applyFill="1" applyBorder="1" applyAlignment="1">
      <alignment horizontal="center" vertical="center"/>
    </xf>
    <xf numFmtId="0" fontId="2" fillId="2" borderId="20" xfId="0" applyFont="1" applyFill="1" applyBorder="1" applyAlignment="1">
      <alignment horizontal="center" vertical="center"/>
    </xf>
    <xf numFmtId="0" fontId="0" fillId="0" borderId="43" xfId="0" applyBorder="1"/>
    <xf numFmtId="0" fontId="2" fillId="2" borderId="29" xfId="0" applyFont="1" applyFill="1" applyBorder="1" applyAlignment="1">
      <alignment horizontal="center" vertical="center"/>
    </xf>
    <xf numFmtId="0" fontId="0" fillId="0" borderId="17" xfId="0" applyBorder="1" applyAlignment="1">
      <alignment horizontal="center"/>
    </xf>
    <xf numFmtId="16" fontId="0" fillId="0" borderId="1" xfId="0" applyNumberFormat="1" applyBorder="1" applyAlignment="1">
      <alignment horizontal="center"/>
    </xf>
    <xf numFmtId="169" fontId="0" fillId="0" borderId="1" xfId="0" applyNumberFormat="1" applyBorder="1" applyAlignment="1">
      <alignment horizontal="center"/>
    </xf>
    <xf numFmtId="0" fontId="2" fillId="2" borderId="37"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46" xfId="0" applyFont="1" applyFill="1" applyBorder="1" applyAlignment="1">
      <alignment horizontal="center" vertical="center"/>
    </xf>
    <xf numFmtId="6" fontId="0" fillId="0" borderId="20" xfId="0" applyNumberFormat="1" applyBorder="1" applyAlignment="1">
      <alignment horizontal="center"/>
    </xf>
    <xf numFmtId="9" fontId="0" fillId="0" borderId="20" xfId="0" applyNumberFormat="1" applyBorder="1" applyAlignment="1">
      <alignment horizontal="center"/>
    </xf>
    <xf numFmtId="165" fontId="5" fillId="0" borderId="23" xfId="0" applyNumberFormat="1" applyFont="1" applyBorder="1" applyAlignment="1">
      <alignment horizontal="center"/>
    </xf>
    <xf numFmtId="165" fontId="5" fillId="0" borderId="17" xfId="0" applyNumberFormat="1" applyFont="1" applyBorder="1" applyAlignment="1">
      <alignment vertical="center"/>
    </xf>
    <xf numFmtId="165" fontId="5" fillId="0" borderId="10" xfId="0" applyNumberFormat="1" applyFont="1" applyBorder="1" applyAlignment="1">
      <alignment vertical="center"/>
    </xf>
    <xf numFmtId="165" fontId="5" fillId="0" borderId="44" xfId="0" applyNumberFormat="1" applyFont="1" applyBorder="1" applyAlignment="1">
      <alignment vertical="center"/>
    </xf>
    <xf numFmtId="165" fontId="5" fillId="0" borderId="1" xfId="0" applyNumberFormat="1" applyFont="1" applyBorder="1" applyAlignment="1">
      <alignment vertical="center"/>
    </xf>
    <xf numFmtId="165" fontId="5" fillId="0" borderId="20" xfId="0" applyNumberFormat="1" applyFont="1" applyBorder="1" applyAlignment="1">
      <alignment horizontal="center"/>
    </xf>
    <xf numFmtId="6" fontId="0" fillId="0" borderId="22" xfId="0" applyNumberFormat="1" applyBorder="1" applyAlignment="1">
      <alignment horizontal="center"/>
    </xf>
    <xf numFmtId="165" fontId="5" fillId="0" borderId="22" xfId="0" applyNumberFormat="1" applyFont="1" applyBorder="1" applyAlignment="1">
      <alignment horizontal="center"/>
    </xf>
    <xf numFmtId="0" fontId="0" fillId="0" borderId="24" xfId="0" applyBorder="1" applyAlignment="1">
      <alignment horizontal="center"/>
    </xf>
    <xf numFmtId="165" fontId="5" fillId="0" borderId="25" xfId="0" applyNumberFormat="1" applyFont="1" applyBorder="1" applyAlignment="1">
      <alignment horizontal="center"/>
    </xf>
    <xf numFmtId="165" fontId="5" fillId="0" borderId="1" xfId="0" applyNumberFormat="1" applyFont="1" applyBorder="1" applyAlignment="1">
      <alignment horizontal="center" vertical="center"/>
    </xf>
    <xf numFmtId="6" fontId="5" fillId="0" borderId="22" xfId="0" applyNumberFormat="1" applyFont="1" applyBorder="1" applyAlignment="1">
      <alignment horizontal="center"/>
    </xf>
    <xf numFmtId="9" fontId="0" fillId="0" borderId="22" xfId="0" applyNumberFormat="1" applyBorder="1" applyAlignment="1">
      <alignment horizontal="center"/>
    </xf>
    <xf numFmtId="10" fontId="0" fillId="0" borderId="22" xfId="0" applyNumberFormat="1" applyBorder="1" applyAlignment="1">
      <alignment horizontal="center"/>
    </xf>
    <xf numFmtId="0" fontId="5" fillId="0" borderId="25" xfId="0" applyFont="1" applyBorder="1" applyAlignment="1">
      <alignment horizontal="center"/>
    </xf>
    <xf numFmtId="0" fontId="2" fillId="2" borderId="30" xfId="0" applyFont="1" applyFill="1" applyBorder="1" applyAlignment="1">
      <alignment horizontal="center" vertical="center"/>
    </xf>
    <xf numFmtId="0" fontId="2" fillId="2" borderId="45" xfId="0" applyFont="1" applyFill="1" applyBorder="1" applyAlignment="1">
      <alignment horizontal="center" vertical="center"/>
    </xf>
    <xf numFmtId="0" fontId="0" fillId="0" borderId="18" xfId="0" applyBorder="1" applyAlignment="1">
      <alignment horizontal="center"/>
    </xf>
    <xf numFmtId="8" fontId="5" fillId="0" borderId="23" xfId="0" applyNumberFormat="1" applyFont="1" applyBorder="1" applyAlignment="1">
      <alignment horizontal="center"/>
    </xf>
    <xf numFmtId="8" fontId="5" fillId="0" borderId="25" xfId="0" applyNumberFormat="1" applyFont="1" applyBorder="1" applyAlignment="1">
      <alignment horizontal="center"/>
    </xf>
    <xf numFmtId="165" fontId="0" fillId="0" borderId="19" xfId="0" applyNumberFormat="1" applyBorder="1" applyAlignment="1">
      <alignment horizontal="center"/>
    </xf>
    <xf numFmtId="165" fontId="0" fillId="0" borderId="21" xfId="0" applyNumberFormat="1" applyBorder="1" applyAlignment="1">
      <alignment horizontal="center"/>
    </xf>
    <xf numFmtId="8" fontId="0" fillId="0" borderId="20" xfId="0" applyNumberFormat="1" applyBorder="1" applyAlignment="1">
      <alignment horizontal="center"/>
    </xf>
    <xf numFmtId="9" fontId="0" fillId="0" borderId="23" xfId="0" applyNumberFormat="1" applyBorder="1" applyAlignment="1">
      <alignment horizontal="center"/>
    </xf>
    <xf numFmtId="0" fontId="0" fillId="0" borderId="3" xfId="0" applyBorder="1"/>
    <xf numFmtId="0" fontId="0" fillId="0" borderId="54" xfId="0" applyBorder="1"/>
    <xf numFmtId="9" fontId="0" fillId="0" borderId="3" xfId="0" applyNumberFormat="1" applyBorder="1" applyAlignment="1">
      <alignment horizontal="center"/>
    </xf>
    <xf numFmtId="10" fontId="0" fillId="0" borderId="3" xfId="0" applyNumberFormat="1" applyBorder="1" applyAlignment="1">
      <alignment horizontal="center"/>
    </xf>
    <xf numFmtId="9" fontId="0" fillId="0" borderId="57" xfId="0" applyNumberFormat="1" applyBorder="1" applyAlignment="1">
      <alignment horizontal="center"/>
    </xf>
    <xf numFmtId="0" fontId="2" fillId="2" borderId="58" xfId="0" applyFont="1" applyFill="1" applyBorder="1" applyAlignment="1">
      <alignment horizontal="center" vertical="center"/>
    </xf>
    <xf numFmtId="0" fontId="0" fillId="0" borderId="58" xfId="0" applyBorder="1"/>
    <xf numFmtId="0" fontId="38" fillId="0" borderId="1" xfId="0" applyFont="1" applyBorder="1" applyAlignment="1">
      <alignment horizontal="center"/>
    </xf>
    <xf numFmtId="165" fontId="5" fillId="0" borderId="1" xfId="0" applyNumberFormat="1" applyFont="1" applyBorder="1"/>
    <xf numFmtId="49" fontId="0" fillId="0" borderId="0" xfId="0" applyNumberFormat="1"/>
    <xf numFmtId="0" fontId="2" fillId="2" borderId="8" xfId="0" applyFont="1" applyFill="1" applyBorder="1" applyAlignment="1">
      <alignment horizontal="center" vertical="center"/>
    </xf>
    <xf numFmtId="170" fontId="0" fillId="0" borderId="1" xfId="0" applyNumberFormat="1" applyBorder="1" applyAlignment="1">
      <alignment horizontal="center"/>
    </xf>
    <xf numFmtId="0" fontId="2" fillId="2" borderId="1" xfId="0" applyFont="1" applyFill="1" applyBorder="1" applyAlignment="1">
      <alignment horizontal="center" vertical="top"/>
    </xf>
    <xf numFmtId="0" fontId="40" fillId="0" borderId="1" xfId="0" applyFont="1" applyBorder="1" applyAlignment="1">
      <alignment horizontal="center"/>
    </xf>
    <xf numFmtId="0" fontId="2" fillId="2" borderId="42" xfId="0" applyFont="1" applyFill="1" applyBorder="1" applyAlignment="1">
      <alignment horizontal="center" vertical="center"/>
    </xf>
    <xf numFmtId="0" fontId="2" fillId="2" borderId="60" xfId="0" applyFont="1" applyFill="1" applyBorder="1" applyAlignment="1">
      <alignment horizontal="center" vertical="center"/>
    </xf>
    <xf numFmtId="0" fontId="0" fillId="0" borderId="20" xfId="0" applyBorder="1" applyAlignment="1">
      <alignment horizontal="left"/>
    </xf>
    <xf numFmtId="0" fontId="0" fillId="0" borderId="23" xfId="0" applyBorder="1" applyAlignment="1">
      <alignment horizontal="left" wrapText="1"/>
    </xf>
    <xf numFmtId="0" fontId="0" fillId="0" borderId="21" xfId="0" applyBorder="1" applyAlignment="1">
      <alignment horizontal="center" vertical="center"/>
    </xf>
    <xf numFmtId="171" fontId="0" fillId="0" borderId="1" xfId="0" applyNumberFormat="1" applyBorder="1" applyAlignment="1">
      <alignment horizontal="left"/>
    </xf>
    <xf numFmtId="13" fontId="5" fillId="0" borderId="1" xfId="0" applyNumberFormat="1" applyFont="1" applyBorder="1" applyAlignment="1">
      <alignment horizontal="center"/>
    </xf>
    <xf numFmtId="171" fontId="5" fillId="0" borderId="1" xfId="0" applyNumberFormat="1" applyFont="1" applyBorder="1" applyAlignment="1">
      <alignment horizontal="center"/>
    </xf>
    <xf numFmtId="22" fontId="0" fillId="0" borderId="1" xfId="0" quotePrefix="1" applyNumberFormat="1" applyBorder="1" applyAlignment="1">
      <alignment horizontal="center"/>
    </xf>
    <xf numFmtId="2" fontId="0" fillId="0" borderId="1" xfId="0" applyNumberFormat="1" applyBorder="1" applyAlignment="1">
      <alignment horizontal="center"/>
    </xf>
    <xf numFmtId="0" fontId="42" fillId="0" borderId="0" xfId="0" quotePrefix="1" applyFont="1"/>
    <xf numFmtId="0" fontId="44" fillId="0" borderId="1" xfId="3" applyFont="1" applyBorder="1" applyAlignment="1">
      <alignment horizontal="center"/>
    </xf>
    <xf numFmtId="0" fontId="43" fillId="0" borderId="0" xfId="3"/>
    <xf numFmtId="0" fontId="43" fillId="0" borderId="1" xfId="3" applyBorder="1" applyAlignment="1">
      <alignment horizontal="center"/>
    </xf>
    <xf numFmtId="0" fontId="45" fillId="0" borderId="0" xfId="0" quotePrefix="1" applyFont="1"/>
    <xf numFmtId="0" fontId="46" fillId="0" borderId="53" xfId="0" applyFont="1" applyBorder="1" applyAlignment="1">
      <alignment horizontal="center"/>
    </xf>
    <xf numFmtId="0" fontId="5" fillId="0" borderId="31" xfId="0" applyFont="1" applyBorder="1"/>
    <xf numFmtId="0" fontId="2" fillId="2" borderId="38" xfId="0" applyFont="1" applyFill="1" applyBorder="1" applyAlignment="1">
      <alignment horizontal="center" vertical="center"/>
    </xf>
    <xf numFmtId="0" fontId="0" fillId="0" borderId="33" xfId="0" applyBorder="1" applyAlignment="1">
      <alignment horizontal="center"/>
    </xf>
    <xf numFmtId="6" fontId="0" fillId="0" borderId="23" xfId="0" applyNumberFormat="1" applyBorder="1" applyAlignment="1">
      <alignment horizontal="center"/>
    </xf>
    <xf numFmtId="0" fontId="2" fillId="2" borderId="61" xfId="0" applyFont="1" applyFill="1" applyBorder="1" applyAlignment="1">
      <alignment horizontal="center" vertical="center"/>
    </xf>
    <xf numFmtId="0" fontId="0" fillId="0" borderId="50" xfId="0" applyBorder="1"/>
    <xf numFmtId="0" fontId="5" fillId="0" borderId="62" xfId="0" applyFont="1" applyBorder="1" applyAlignment="1">
      <alignment horizontal="center"/>
    </xf>
    <xf numFmtId="8" fontId="47" fillId="0" borderId="20" xfId="0" applyNumberFormat="1" applyFont="1" applyBorder="1" applyAlignment="1">
      <alignment horizontal="center"/>
    </xf>
    <xf numFmtId="8" fontId="47" fillId="0" borderId="23" xfId="0" applyNumberFormat="1" applyFont="1" applyBorder="1" applyAlignment="1">
      <alignment horizontal="center"/>
    </xf>
    <xf numFmtId="0" fontId="0" fillId="5" borderId="1" xfId="0" applyFill="1" applyBorder="1" applyAlignment="1">
      <alignment horizontal="center"/>
    </xf>
    <xf numFmtId="8" fontId="47" fillId="5" borderId="20" xfId="0" applyNumberFormat="1" applyFont="1" applyFill="1" applyBorder="1" applyAlignment="1">
      <alignment horizontal="center"/>
    </xf>
    <xf numFmtId="0" fontId="2" fillId="2" borderId="19"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20" xfId="0" applyFont="1" applyFill="1" applyBorder="1" applyAlignment="1">
      <alignment horizontal="center" wrapText="1"/>
    </xf>
    <xf numFmtId="165" fontId="5" fillId="0" borderId="62" xfId="0" applyNumberFormat="1" applyFont="1" applyBorder="1" applyAlignment="1">
      <alignment horizontal="center"/>
    </xf>
    <xf numFmtId="0" fontId="0" fillId="0" borderId="55" xfId="0" applyBorder="1" applyAlignment="1">
      <alignment horizontal="center"/>
    </xf>
    <xf numFmtId="9" fontId="0" fillId="0" borderId="4" xfId="0" applyNumberFormat="1" applyBorder="1" applyAlignment="1">
      <alignment horizontal="center"/>
    </xf>
    <xf numFmtId="9" fontId="0" fillId="0" borderId="64" xfId="0" applyNumberFormat="1" applyBorder="1" applyAlignment="1">
      <alignment horizontal="center"/>
    </xf>
    <xf numFmtId="10" fontId="5" fillId="0" borderId="62" xfId="0" applyNumberFormat="1" applyFont="1" applyBorder="1" applyAlignment="1">
      <alignment horizontal="center"/>
    </xf>
    <xf numFmtId="3" fontId="5" fillId="0" borderId="62" xfId="0" applyNumberFormat="1" applyFont="1" applyBorder="1" applyAlignment="1">
      <alignment horizontal="center"/>
    </xf>
    <xf numFmtId="0" fontId="0" fillId="0" borderId="19" xfId="0" applyBorder="1"/>
    <xf numFmtId="0" fontId="0" fillId="0" borderId="20" xfId="0" applyBorder="1"/>
    <xf numFmtId="3" fontId="0" fillId="0" borderId="20" xfId="0" applyNumberFormat="1" applyBorder="1" applyAlignment="1">
      <alignment horizontal="center"/>
    </xf>
    <xf numFmtId="3" fontId="0" fillId="0" borderId="23" xfId="0" applyNumberFormat="1" applyBorder="1" applyAlignment="1">
      <alignment horizontal="center"/>
    </xf>
    <xf numFmtId="14" fontId="0" fillId="0" borderId="22" xfId="0" applyNumberFormat="1" applyBorder="1" applyAlignment="1">
      <alignment horizontal="center"/>
    </xf>
    <xf numFmtId="14" fontId="0" fillId="0" borderId="23" xfId="0" applyNumberFormat="1" applyBorder="1" applyAlignment="1">
      <alignment horizontal="center"/>
    </xf>
    <xf numFmtId="0" fontId="2" fillId="2" borderId="19" xfId="0" applyFont="1" applyFill="1" applyBorder="1" applyAlignment="1">
      <alignment horizontal="center" vertical="top"/>
    </xf>
    <xf numFmtId="0" fontId="2" fillId="2" borderId="20" xfId="0" applyFont="1" applyFill="1" applyBorder="1" applyAlignment="1">
      <alignment horizontal="center" vertical="top"/>
    </xf>
    <xf numFmtId="3" fontId="13" fillId="0" borderId="1" xfId="0" applyNumberFormat="1" applyFont="1" applyBorder="1" applyAlignment="1">
      <alignment horizontal="center"/>
    </xf>
    <xf numFmtId="0" fontId="5" fillId="0" borderId="1" xfId="0" quotePrefix="1" applyFont="1" applyBorder="1" applyAlignment="1">
      <alignment horizontal="left"/>
    </xf>
    <xf numFmtId="0" fontId="2" fillId="2" borderId="21" xfId="0" applyFont="1" applyFill="1" applyBorder="1" applyAlignment="1">
      <alignment horizontal="center" vertical="center"/>
    </xf>
    <xf numFmtId="0" fontId="0" fillId="0" borderId="22" xfId="0" applyBorder="1" applyAlignment="1">
      <alignment horizontal="left" vertical="center"/>
    </xf>
    <xf numFmtId="0" fontId="5" fillId="0" borderId="23" xfId="0" applyFont="1" applyBorder="1" applyAlignment="1">
      <alignment horizontal="center" vertical="center"/>
    </xf>
    <xf numFmtId="0" fontId="5" fillId="0" borderId="23" xfId="0" applyFont="1" applyBorder="1" applyAlignment="1">
      <alignment horizontal="left" vertical="center"/>
    </xf>
    <xf numFmtId="0" fontId="2" fillId="2" borderId="55" xfId="0" applyFont="1" applyFill="1" applyBorder="1" applyAlignment="1">
      <alignment horizontal="center" vertical="center" wrapText="1"/>
    </xf>
    <xf numFmtId="0" fontId="5" fillId="0" borderId="64" xfId="0" applyFont="1" applyBorder="1" applyAlignment="1">
      <alignment horizontal="center" vertical="center"/>
    </xf>
    <xf numFmtId="0" fontId="2" fillId="2" borderId="4" xfId="0" applyFont="1" applyFill="1" applyBorder="1" applyAlignment="1">
      <alignment horizontal="center" vertical="center" wrapText="1"/>
    </xf>
    <xf numFmtId="0" fontId="5" fillId="0" borderId="64" xfId="0" applyFont="1" applyBorder="1" applyAlignment="1">
      <alignment horizontal="left" vertical="center"/>
    </xf>
    <xf numFmtId="171" fontId="0" fillId="0" borderId="1" xfId="0" applyNumberFormat="1" applyBorder="1" applyAlignment="1">
      <alignment horizontal="center"/>
    </xf>
    <xf numFmtId="13" fontId="0" fillId="0" borderId="1" xfId="0" applyNumberFormat="1" applyBorder="1" applyAlignment="1">
      <alignment horizontal="center"/>
    </xf>
    <xf numFmtId="9" fontId="5" fillId="0" borderId="1" xfId="0" applyNumberFormat="1" applyFont="1" applyBorder="1" applyAlignment="1">
      <alignment horizontal="center" vertical="center"/>
    </xf>
    <xf numFmtId="20" fontId="0" fillId="0" borderId="1" xfId="0" applyNumberFormat="1" applyBorder="1" applyAlignment="1">
      <alignment horizontal="center"/>
    </xf>
    <xf numFmtId="21" fontId="0" fillId="0" borderId="1" xfId="0" applyNumberFormat="1" applyBorder="1" applyAlignment="1">
      <alignment horizontal="center"/>
    </xf>
    <xf numFmtId="172" fontId="0" fillId="0" borderId="0" xfId="0" applyNumberFormat="1"/>
    <xf numFmtId="0" fontId="0" fillId="0" borderId="1" xfId="0" quotePrefix="1" applyBorder="1"/>
    <xf numFmtId="172" fontId="0" fillId="0" borderId="1" xfId="0" applyNumberFormat="1" applyBorder="1" applyAlignment="1">
      <alignment horizontal="center"/>
    </xf>
    <xf numFmtId="0" fontId="0" fillId="0" borderId="1" xfId="0" quotePrefix="1" applyBorder="1" applyAlignment="1">
      <alignment horizontal="left"/>
    </xf>
    <xf numFmtId="6" fontId="0" fillId="0" borderId="1" xfId="0" quotePrefix="1" applyNumberFormat="1" applyBorder="1" applyAlignment="1">
      <alignment horizontal="left"/>
    </xf>
    <xf numFmtId="0" fontId="5" fillId="0" borderId="1" xfId="0" applyFont="1" applyBorder="1" applyAlignment="1">
      <alignment horizontal="right"/>
    </xf>
    <xf numFmtId="14" fontId="5" fillId="0" borderId="1" xfId="0" applyNumberFormat="1" applyFont="1" applyBorder="1" applyAlignment="1">
      <alignment horizontal="right"/>
    </xf>
    <xf numFmtId="6" fontId="5" fillId="0" borderId="1" xfId="0" applyNumberFormat="1" applyFont="1" applyBorder="1" applyAlignment="1">
      <alignment horizontal="right"/>
    </xf>
    <xf numFmtId="10" fontId="5" fillId="0" borderId="1" xfId="0" applyNumberFormat="1" applyFont="1" applyBorder="1" applyAlignment="1">
      <alignment horizontal="right"/>
    </xf>
    <xf numFmtId="49" fontId="0" fillId="0" borderId="1" xfId="0" quotePrefix="1" applyNumberFormat="1" applyBorder="1"/>
    <xf numFmtId="49" fontId="0" fillId="0" borderId="1" xfId="0" applyNumberFormat="1" applyBorder="1"/>
    <xf numFmtId="165" fontId="5" fillId="0" borderId="1" xfId="0" applyNumberFormat="1" applyFont="1" applyBorder="1" applyAlignment="1">
      <alignment horizontal="right"/>
    </xf>
    <xf numFmtId="49" fontId="0" fillId="0" borderId="1" xfId="0" quotePrefix="1" applyNumberFormat="1" applyBorder="1" applyAlignment="1">
      <alignment horizontal="center"/>
    </xf>
    <xf numFmtId="49" fontId="5" fillId="0" borderId="1" xfId="0" applyNumberFormat="1" applyFont="1" applyBorder="1" applyAlignment="1">
      <alignment horizontal="center"/>
    </xf>
    <xf numFmtId="173" fontId="0" fillId="0" borderId="1" xfId="0" applyNumberFormat="1" applyBorder="1" applyAlignment="1">
      <alignment horizontal="center"/>
    </xf>
    <xf numFmtId="20" fontId="0" fillId="0" borderId="1" xfId="0" quotePrefix="1" applyNumberFormat="1" applyBorder="1" applyAlignment="1">
      <alignment horizontal="center"/>
    </xf>
    <xf numFmtId="166" fontId="5" fillId="0" borderId="1" xfId="0" applyNumberFormat="1" applyFont="1" applyBorder="1" applyAlignment="1">
      <alignment horizontal="center"/>
    </xf>
    <xf numFmtId="172"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19" xfId="0" applyBorder="1" applyAlignment="1">
      <alignment horizontal="center" wrapText="1"/>
    </xf>
    <xf numFmtId="0" fontId="5" fillId="0" borderId="20" xfId="0" applyFont="1" applyBorder="1" applyAlignment="1">
      <alignment horizontal="center" vertical="center"/>
    </xf>
    <xf numFmtId="0" fontId="0" fillId="0" borderId="18" xfId="0" applyBorder="1" applyAlignment="1">
      <alignment wrapText="1"/>
    </xf>
    <xf numFmtId="0" fontId="25" fillId="0" borderId="19" xfId="0" applyFont="1" applyBorder="1" applyAlignment="1">
      <alignment horizontal="center"/>
    </xf>
    <xf numFmtId="0" fontId="25" fillId="0" borderId="21" xfId="0" applyFont="1" applyBorder="1" applyAlignment="1">
      <alignment horizontal="center"/>
    </xf>
    <xf numFmtId="0" fontId="46" fillId="0" borderId="53" xfId="0" applyFont="1" applyBorder="1" applyAlignment="1">
      <alignment horizontal="centerContinuous"/>
    </xf>
    <xf numFmtId="0" fontId="21" fillId="0" borderId="0" xfId="0" applyFont="1"/>
    <xf numFmtId="0" fontId="0" fillId="0" borderId="0" xfId="0" applyAlignment="1">
      <alignment horizontal="center" vertical="center"/>
    </xf>
    <xf numFmtId="0" fontId="5" fillId="0" borderId="0" xfId="0" applyFont="1" applyAlignment="1">
      <alignment horizontal="center" vertical="center"/>
    </xf>
    <xf numFmtId="0" fontId="33" fillId="0" borderId="0" xfId="0" quotePrefix="1" applyFont="1"/>
    <xf numFmtId="0" fontId="50" fillId="0" borderId="65" xfId="0" applyFont="1" applyBorder="1" applyAlignment="1">
      <alignment vertical="center"/>
    </xf>
    <xf numFmtId="14" fontId="2" fillId="2" borderId="1" xfId="0" applyNumberFormat="1" applyFont="1" applyFill="1" applyBorder="1" applyAlignment="1">
      <alignment horizontal="center" vertical="center"/>
    </xf>
    <xf numFmtId="0" fontId="4" fillId="0" borderId="1" xfId="0" applyFont="1" applyBorder="1" applyAlignment="1">
      <alignment horizontal="left"/>
    </xf>
    <xf numFmtId="12" fontId="5" fillId="0" borderId="1" xfId="0" applyNumberFormat="1" applyFont="1" applyBorder="1" applyAlignment="1">
      <alignment horizontal="center"/>
    </xf>
    <xf numFmtId="12" fontId="0" fillId="0" borderId="0" xfId="0" applyNumberFormat="1"/>
    <xf numFmtId="174" fontId="5" fillId="0" borderId="1" xfId="0" applyNumberFormat="1" applyFont="1" applyBorder="1" applyAlignment="1">
      <alignment horizontal="center"/>
    </xf>
    <xf numFmtId="175" fontId="5" fillId="0" borderId="1" xfId="0" applyNumberFormat="1" applyFont="1" applyBorder="1" applyAlignment="1">
      <alignment horizontal="center"/>
    </xf>
    <xf numFmtId="175" fontId="0" fillId="0" borderId="1" xfId="0" applyNumberFormat="1" applyBorder="1" applyAlignment="1">
      <alignment horizontal="center"/>
    </xf>
    <xf numFmtId="176" fontId="5" fillId="0" borderId="1" xfId="0" applyNumberFormat="1" applyFont="1" applyBorder="1" applyAlignment="1">
      <alignment horizontal="center"/>
    </xf>
    <xf numFmtId="10" fontId="0" fillId="0" borderId="0" xfId="2" applyNumberFormat="1" applyFont="1"/>
    <xf numFmtId="9" fontId="0" fillId="0" borderId="1" xfId="2" applyFont="1" applyBorder="1" applyAlignment="1">
      <alignment horizontal="center"/>
    </xf>
    <xf numFmtId="177" fontId="0" fillId="0" borderId="0" xfId="0" applyNumberFormat="1"/>
    <xf numFmtId="9" fontId="0" fillId="0" borderId="0" xfId="2" applyFont="1"/>
    <xf numFmtId="178" fontId="0" fillId="0" borderId="0" xfId="2" applyNumberFormat="1" applyFont="1"/>
    <xf numFmtId="179" fontId="0" fillId="0" borderId="0" xfId="0" applyNumberFormat="1"/>
    <xf numFmtId="178" fontId="5" fillId="0" borderId="1" xfId="0" applyNumberFormat="1" applyFont="1" applyBorder="1" applyAlignment="1">
      <alignment horizontal="center"/>
    </xf>
    <xf numFmtId="178" fontId="0" fillId="0" borderId="0" xfId="0" applyNumberFormat="1"/>
    <xf numFmtId="180" fontId="5" fillId="0" borderId="1" xfId="0" applyNumberFormat="1" applyFont="1" applyBorder="1" applyAlignment="1">
      <alignment horizontal="center"/>
    </xf>
    <xf numFmtId="181" fontId="0" fillId="0" borderId="1" xfId="0" applyNumberFormat="1" applyBorder="1" applyAlignment="1">
      <alignment horizontal="center"/>
    </xf>
    <xf numFmtId="0" fontId="0" fillId="0" borderId="32" xfId="0" applyBorder="1" applyAlignment="1">
      <alignment horizontal="center"/>
    </xf>
    <xf numFmtId="181" fontId="5" fillId="0" borderId="1" xfId="0" applyNumberFormat="1" applyFont="1" applyBorder="1" applyAlignment="1">
      <alignment horizontal="center"/>
    </xf>
    <xf numFmtId="0" fontId="0" fillId="6" borderId="1" xfId="0" applyFill="1" applyBorder="1" applyAlignment="1">
      <alignment horizontal="center"/>
    </xf>
    <xf numFmtId="165" fontId="5" fillId="6" borderId="1" xfId="0" applyNumberFormat="1" applyFont="1" applyFill="1" applyBorder="1" applyAlignment="1">
      <alignment horizontal="center"/>
    </xf>
    <xf numFmtId="181" fontId="5" fillId="6" borderId="1" xfId="0" applyNumberFormat="1" applyFont="1" applyFill="1" applyBorder="1" applyAlignment="1">
      <alignment horizontal="center"/>
    </xf>
    <xf numFmtId="181" fontId="0" fillId="0" borderId="20" xfId="0" applyNumberFormat="1" applyBorder="1" applyAlignment="1">
      <alignment horizontal="center"/>
    </xf>
    <xf numFmtId="0" fontId="2" fillId="2" borderId="56" xfId="0" applyFont="1" applyFill="1" applyBorder="1" applyAlignment="1">
      <alignment horizontal="center" vertical="center"/>
    </xf>
    <xf numFmtId="181" fontId="5" fillId="0" borderId="23" xfId="0" applyNumberFormat="1" applyFont="1" applyBorder="1" applyAlignment="1">
      <alignment horizontal="center"/>
    </xf>
    <xf numFmtId="181" fontId="0" fillId="0" borderId="30" xfId="0" applyNumberFormat="1" applyBorder="1" applyAlignment="1">
      <alignment horizontal="center"/>
    </xf>
    <xf numFmtId="0" fontId="0" fillId="0" borderId="0" xfId="2" applyNumberFormat="1" applyFont="1"/>
    <xf numFmtId="0" fontId="51" fillId="0" borderId="0" xfId="0" applyFont="1" applyAlignment="1">
      <alignment vertical="center"/>
    </xf>
    <xf numFmtId="0" fontId="52" fillId="0" borderId="0" xfId="0" applyFont="1" applyAlignment="1">
      <alignment vertical="center"/>
    </xf>
    <xf numFmtId="0" fontId="2" fillId="2" borderId="6" xfId="0" applyFont="1" applyFill="1" applyBorder="1" applyAlignment="1">
      <alignment horizontal="center" wrapText="1"/>
    </xf>
    <xf numFmtId="0" fontId="2" fillId="2" borderId="9" xfId="0" applyFont="1" applyFill="1" applyBorder="1" applyAlignment="1">
      <alignment horizontal="center" wrapText="1"/>
    </xf>
    <xf numFmtId="0" fontId="2" fillId="2" borderId="3" xfId="0" applyFont="1" applyFill="1" applyBorder="1" applyAlignment="1">
      <alignment horizontal="center" vertical="center"/>
    </xf>
    <xf numFmtId="0" fontId="46" fillId="0" borderId="6" xfId="0" applyFont="1" applyBorder="1" applyAlignment="1">
      <alignment horizontal="center"/>
    </xf>
    <xf numFmtId="165" fontId="53" fillId="0" borderId="1" xfId="0" applyNumberFormat="1" applyFont="1" applyBorder="1" applyAlignment="1">
      <alignment horizontal="center"/>
    </xf>
    <xf numFmtId="1" fontId="53" fillId="0" borderId="1" xfId="0" applyNumberFormat="1" applyFont="1" applyBorder="1" applyAlignment="1">
      <alignment horizontal="center"/>
    </xf>
    <xf numFmtId="1" fontId="0" fillId="0" borderId="1" xfId="0" applyNumberFormat="1" applyBorder="1" applyAlignment="1">
      <alignment horizontal="center"/>
    </xf>
    <xf numFmtId="1" fontId="5" fillId="0" borderId="1" xfId="0" applyNumberFormat="1" applyFont="1" applyBorder="1" applyAlignment="1">
      <alignment horizontal="center"/>
    </xf>
    <xf numFmtId="0" fontId="5" fillId="0" borderId="31" xfId="0" applyFont="1" applyBorder="1" applyAlignment="1">
      <alignment horizontal="center"/>
    </xf>
    <xf numFmtId="0" fontId="46" fillId="0" borderId="0" xfId="0" applyFont="1" applyAlignment="1">
      <alignment horizontal="center"/>
    </xf>
    <xf numFmtId="182" fontId="53" fillId="0" borderId="1" xfId="0" applyNumberFormat="1" applyFont="1" applyBorder="1" applyAlignment="1">
      <alignment horizontal="center"/>
    </xf>
    <xf numFmtId="0" fontId="0" fillId="0" borderId="12" xfId="0" applyBorder="1"/>
    <xf numFmtId="0" fontId="0" fillId="0" borderId="31" xfId="0" applyBorder="1" applyAlignment="1">
      <alignment horizontal="center" vertical="center"/>
    </xf>
    <xf numFmtId="1" fontId="0" fillId="0" borderId="1" xfId="0" applyNumberFormat="1"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5" fillId="0" borderId="8" xfId="0"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xf>
    <xf numFmtId="0" fontId="2" fillId="2" borderId="7"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6" xfId="0" applyFont="1" applyFill="1" applyBorder="1" applyAlignment="1">
      <alignment horizontal="center"/>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5" fillId="0" borderId="5" xfId="0" applyFont="1" applyBorder="1" applyAlignment="1">
      <alignment horizontal="center" vertical="center"/>
    </xf>
    <xf numFmtId="0" fontId="0" fillId="0" borderId="2" xfId="0" applyBorder="1" applyAlignment="1">
      <alignment horizontal="left" vertical="center"/>
    </xf>
    <xf numFmtId="14" fontId="0" fillId="0" borderId="4" xfId="0" applyNumberFormat="1" applyBorder="1" applyAlignment="1">
      <alignment horizontal="center" vertical="center"/>
    </xf>
    <xf numFmtId="14" fontId="0" fillId="0" borderId="2" xfId="0" applyNumberFormat="1" applyBorder="1" applyAlignment="1">
      <alignment horizontal="center" vertical="center"/>
    </xf>
    <xf numFmtId="14" fontId="0" fillId="0" borderId="5" xfId="0" applyNumberFormat="1" applyBorder="1" applyAlignment="1">
      <alignment horizontal="center" vertical="center"/>
    </xf>
    <xf numFmtId="14" fontId="0" fillId="0" borderId="1" xfId="0" applyNumberFormat="1" applyBorder="1" applyAlignment="1">
      <alignment horizontal="center" vertical="center"/>
    </xf>
    <xf numFmtId="0" fontId="5" fillId="0" borderId="1" xfId="0" applyFont="1" applyBorder="1" applyAlignment="1">
      <alignment horizontal="center" vertical="center"/>
    </xf>
    <xf numFmtId="0" fontId="2" fillId="2" borderId="14" xfId="0" applyFont="1" applyFill="1" applyBorder="1" applyAlignment="1">
      <alignment horizontal="center" vertical="center"/>
    </xf>
    <xf numFmtId="0" fontId="0" fillId="0" borderId="1" xfId="0" applyBorder="1" applyAlignment="1">
      <alignment horizontal="center" vertical="center"/>
    </xf>
    <xf numFmtId="0" fontId="5" fillId="0" borderId="24" xfId="0" applyFont="1" applyBorder="1" applyAlignment="1">
      <alignment horizontal="center"/>
    </xf>
    <xf numFmtId="0" fontId="5" fillId="0" borderId="25" xfId="0" applyFont="1" applyBorder="1" applyAlignment="1">
      <alignment horizontal="center"/>
    </xf>
    <xf numFmtId="0" fontId="2" fillId="2" borderId="2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37" xfId="0" applyFont="1" applyFill="1" applyBorder="1" applyAlignment="1">
      <alignment horizontal="center" wrapText="1"/>
    </xf>
    <xf numFmtId="0" fontId="2" fillId="2" borderId="38" xfId="0" applyFont="1" applyFill="1" applyBorder="1" applyAlignment="1">
      <alignment horizontal="center" wrapText="1"/>
    </xf>
    <xf numFmtId="0" fontId="2" fillId="2" borderId="39" xfId="0" applyFont="1" applyFill="1" applyBorder="1" applyAlignment="1">
      <alignment horizontal="center" wrapText="1"/>
    </xf>
    <xf numFmtId="0" fontId="2" fillId="2" borderId="29" xfId="0" applyFont="1" applyFill="1" applyBorder="1" applyAlignment="1">
      <alignment horizontal="center" vertical="center" wrapText="1"/>
    </xf>
    <xf numFmtId="0" fontId="2" fillId="2" borderId="30"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4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2" borderId="49" xfId="0" applyFont="1" applyFill="1" applyBorder="1" applyAlignment="1">
      <alignment horizontal="center" vertical="center" textRotation="90"/>
    </xf>
    <xf numFmtId="0" fontId="2" fillId="2" borderId="50" xfId="0" applyFont="1" applyFill="1" applyBorder="1" applyAlignment="1">
      <alignment horizontal="center" vertical="center" textRotation="90"/>
    </xf>
    <xf numFmtId="0" fontId="2" fillId="2" borderId="51" xfId="0" applyFont="1" applyFill="1" applyBorder="1" applyAlignment="1">
      <alignment horizontal="center" vertical="center" textRotation="90"/>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9" xfId="0" applyFont="1" applyFill="1" applyBorder="1" applyAlignment="1">
      <alignment horizontal="center" vertical="center" textRotation="90" wrapText="1"/>
    </xf>
    <xf numFmtId="0" fontId="2" fillId="2" borderId="50" xfId="0" applyFont="1" applyFill="1" applyBorder="1" applyAlignment="1">
      <alignment horizontal="center" vertical="center" textRotation="90" wrapText="1"/>
    </xf>
    <xf numFmtId="0" fontId="2" fillId="2" borderId="51" xfId="0" applyFont="1" applyFill="1" applyBorder="1" applyAlignment="1">
      <alignment horizontal="center" vertical="center" textRotation="90" wrapText="1"/>
    </xf>
    <xf numFmtId="0" fontId="2"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0" fillId="0" borderId="59" xfId="0" applyBorder="1" applyAlignment="1">
      <alignment horizontal="center" vertical="center"/>
    </xf>
    <xf numFmtId="0" fontId="0" fillId="0" borderId="18" xfId="0" applyBorder="1" applyAlignment="1">
      <alignment horizontal="center" vertical="center"/>
    </xf>
    <xf numFmtId="0" fontId="0" fillId="0" borderId="32" xfId="0" applyBorder="1" applyAlignment="1">
      <alignment horizontal="center" vertical="center"/>
    </xf>
    <xf numFmtId="0" fontId="2" fillId="2" borderId="55" xfId="0" applyFont="1" applyFill="1" applyBorder="1" applyAlignment="1">
      <alignment horizontal="center" vertical="center" textRotation="90" wrapText="1"/>
    </xf>
    <xf numFmtId="0" fontId="2" fillId="2" borderId="52" xfId="0" applyFont="1" applyFill="1" applyBorder="1" applyAlignment="1">
      <alignment horizontal="center" vertical="center" textRotation="90" wrapText="1"/>
    </xf>
    <xf numFmtId="0" fontId="2" fillId="2" borderId="56" xfId="0" applyFont="1" applyFill="1" applyBorder="1" applyAlignment="1">
      <alignment horizontal="center" vertical="center" textRotation="90" wrapText="1"/>
    </xf>
    <xf numFmtId="0" fontId="2" fillId="2" borderId="53" xfId="0" applyFont="1" applyFill="1" applyBorder="1" applyAlignment="1">
      <alignment horizontal="center" vertical="center"/>
    </xf>
    <xf numFmtId="0" fontId="2" fillId="2" borderId="19" xfId="0" applyFont="1" applyFill="1" applyBorder="1" applyAlignment="1">
      <alignment horizontal="center" vertical="center" textRotation="90" wrapText="1"/>
    </xf>
    <xf numFmtId="0" fontId="2" fillId="2" borderId="21" xfId="0" applyFont="1" applyFill="1" applyBorder="1" applyAlignment="1">
      <alignment horizontal="center" vertical="center" textRotation="90" wrapText="1"/>
    </xf>
    <xf numFmtId="165" fontId="5" fillId="0" borderId="1" xfId="0" applyNumberFormat="1" applyFont="1" applyBorder="1" applyAlignment="1">
      <alignment horizontal="center" vertical="center"/>
    </xf>
    <xf numFmtId="165" fontId="5" fillId="0" borderId="4" xfId="0" applyNumberFormat="1" applyFont="1" applyBorder="1" applyAlignment="1">
      <alignment horizontal="center" vertical="center"/>
    </xf>
    <xf numFmtId="165" fontId="5" fillId="0" borderId="5" xfId="0" applyNumberFormat="1" applyFont="1" applyBorder="1" applyAlignment="1">
      <alignment horizontal="center" vertical="center"/>
    </xf>
    <xf numFmtId="0" fontId="2" fillId="2" borderId="49"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49"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top"/>
    </xf>
    <xf numFmtId="0" fontId="2" fillId="2" borderId="39" xfId="0" applyFont="1" applyFill="1" applyBorder="1" applyAlignment="1">
      <alignment horizontal="center" vertical="top"/>
    </xf>
    <xf numFmtId="0" fontId="2" fillId="2" borderId="4" xfId="0" applyFont="1" applyFill="1" applyBorder="1" applyAlignment="1">
      <alignment horizontal="center" vertical="center"/>
    </xf>
    <xf numFmtId="6" fontId="0" fillId="0" borderId="1" xfId="0" applyNumberFormat="1" applyBorder="1" applyAlignment="1">
      <alignment horizontal="center"/>
    </xf>
    <xf numFmtId="0" fontId="2" fillId="2" borderId="14" xfId="0" applyFont="1" applyFill="1" applyBorder="1" applyAlignment="1">
      <alignment horizontal="center" vertical="top"/>
    </xf>
    <xf numFmtId="0" fontId="2" fillId="2" borderId="6"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3" xfId="0" applyFont="1" applyFill="1" applyBorder="1" applyAlignment="1">
      <alignment horizontal="center" vertical="top"/>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0" fillId="0" borderId="0" xfId="0" applyNumberFormat="1"/>
  </cellXfs>
  <cellStyles count="4">
    <cellStyle name="Euro" xfId="1" xr:uid="{321FFC73-69A1-427B-8D69-B208D7DE032A}"/>
    <cellStyle name="Hyperlink" xfId="3" builtinId="8"/>
    <cellStyle name="Normal" xfId="0" builtinId="0"/>
    <cellStyle name="Percent" xfId="2" builtinId="5"/>
  </cellStyles>
  <dxfs count="9">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9"/>
        </patternFill>
      </fill>
    </dxf>
    <dxf>
      <fill>
        <patternFill>
          <bgColor rgb="FF92D050"/>
        </patternFill>
      </fill>
    </dxf>
  </dxfs>
  <tableStyles count="0" defaultTableStyle="TableStyleMedium2" defaultPivotStyle="PivotStyleLight16"/>
  <colors>
    <mruColors>
      <color rgb="FF0CA0A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pivotCacheDefinition" Target="pivotCache/pivotCacheDefinition6.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sharedStrings" Target="sharedStrings.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pivotCacheDefinition" Target="pivotCache/pivotCacheDefinition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pivotCacheDefinition" Target="pivotCache/pivotCacheDefinition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pivotCacheDefinition" Target="pivotCache/pivotCacheDefinition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microsoft.com/office/2007/relationships/slicerCache" Target="slicerCaches/slicerCache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calcChain" Target="calcChain.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pivotCacheDefinition" Target="pivotCache/pivotCacheDefinition2.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pivotCacheDefinition" Target="pivotCache/pivotCacheDefinition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theme" Target="theme/theme1.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6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6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6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6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image" Target="../media/image3.png"/></Relationships>
</file>

<file path=xl/charts/_rels/chart6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image" Target="../media/image3.png"/></Relationships>
</file>

<file path=xl/charts/_rels/chart7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image" Target="../media/image3.png"/></Relationships>
</file>

<file path=xl/charts/_rels/chart7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image" Target="../media/image3.png"/></Relationships>
</file>

<file path=xl/charts/_rels/chart7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image" Target="../media/image3.png"/></Relationships>
</file>

<file path=xl/charts/_rels/chart7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image" Target="../media/image3.png"/></Relationships>
</file>

<file path=xl/charts/_rels/chart7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'Waterfall Chart_Example 2'!$B$1</c:f>
              <c:strCache>
                <c:ptCount val="1"/>
                <c:pt idx="0">
                  <c:v>Base</c:v>
                </c:pt>
              </c:strCache>
            </c:strRef>
          </c:tx>
          <c:spPr>
            <a:noFill/>
            <a:ln>
              <a:noFill/>
            </a:ln>
            <a:effectLst/>
          </c:spPr>
          <c:invertIfNegative val="0"/>
          <c:dPt>
            <c:idx val="13"/>
            <c:invertIfNegative val="0"/>
            <c:bubble3D val="0"/>
            <c:spPr>
              <a:solidFill>
                <a:schemeClr val="bg2">
                  <a:lumMod val="75000"/>
                </a:schemeClr>
              </a:solidFill>
              <a:ln>
                <a:noFill/>
              </a:ln>
              <a:effectLst/>
            </c:spPr>
            <c:extLst>
              <c:ext xmlns:c16="http://schemas.microsoft.com/office/drawing/2014/chart" uri="{C3380CC4-5D6E-409C-BE32-E72D297353CC}">
                <c16:uniqueId val="{00000004-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2'!$B$2:$B$15</c:f>
              <c:numCache>
                <c:formatCode>General</c:formatCode>
                <c:ptCount val="14"/>
                <c:pt idx="1">
                  <c:v>6000</c:v>
                </c:pt>
                <c:pt idx="2">
                  <c:v>7200</c:v>
                </c:pt>
                <c:pt idx="3">
                  <c:v>6800</c:v>
                </c:pt>
                <c:pt idx="4">
                  <c:v>6800</c:v>
                </c:pt>
                <c:pt idx="5">
                  <c:v>8600</c:v>
                </c:pt>
                <c:pt idx="6">
                  <c:v>9600</c:v>
                </c:pt>
                <c:pt idx="7">
                  <c:v>9600</c:v>
                </c:pt>
                <c:pt idx="8">
                  <c:v>10900</c:v>
                </c:pt>
                <c:pt idx="9">
                  <c:v>11265</c:v>
                </c:pt>
                <c:pt idx="10">
                  <c:v>10175</c:v>
                </c:pt>
                <c:pt idx="11">
                  <c:v>9015</c:v>
                </c:pt>
                <c:pt idx="12">
                  <c:v>9015</c:v>
                </c:pt>
                <c:pt idx="13">
                  <c:v>10605</c:v>
                </c:pt>
              </c:numCache>
            </c:numRef>
          </c:val>
          <c:extLst>
            <c:ext xmlns:c16="http://schemas.microsoft.com/office/drawing/2014/chart" uri="{C3380CC4-5D6E-409C-BE32-E72D297353CC}">
              <c16:uniqueId val="{00000000-9A75-4524-AD30-E743CE696267}"/>
            </c:ext>
          </c:extLst>
        </c:ser>
        <c:ser>
          <c:idx val="1"/>
          <c:order val="1"/>
          <c:tx>
            <c:strRef>
              <c:f>'Waterfall Chart_Example 2'!$C$1</c:f>
              <c:strCache>
                <c:ptCount val="1"/>
                <c:pt idx="0">
                  <c:v>Decrease</c:v>
                </c:pt>
              </c:strCache>
            </c:strRef>
          </c:tx>
          <c:spPr>
            <a:solidFill>
              <a:srgbClr val="FF0000"/>
            </a:solidFill>
            <a:ln>
              <a:noFill/>
            </a:ln>
            <a:effectLst/>
          </c:spPr>
          <c:invertIfNegative val="0"/>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2'!$C$2:$C$15</c:f>
              <c:numCache>
                <c:formatCode>General</c:formatCode>
                <c:ptCount val="14"/>
                <c:pt idx="0">
                  <c:v>0</c:v>
                </c:pt>
                <c:pt idx="1">
                  <c:v>0</c:v>
                </c:pt>
                <c:pt idx="2">
                  <c:v>0</c:v>
                </c:pt>
                <c:pt idx="3">
                  <c:v>1500</c:v>
                </c:pt>
                <c:pt idx="4">
                  <c:v>0</c:v>
                </c:pt>
                <c:pt idx="5">
                  <c:v>0</c:v>
                </c:pt>
                <c:pt idx="6">
                  <c:v>1000</c:v>
                </c:pt>
                <c:pt idx="7">
                  <c:v>0</c:v>
                </c:pt>
                <c:pt idx="8">
                  <c:v>0</c:v>
                </c:pt>
                <c:pt idx="9">
                  <c:v>1135</c:v>
                </c:pt>
                <c:pt idx="10">
                  <c:v>1090</c:v>
                </c:pt>
                <c:pt idx="11">
                  <c:v>1160</c:v>
                </c:pt>
                <c:pt idx="12">
                  <c:v>0</c:v>
                </c:pt>
              </c:numCache>
            </c:numRef>
          </c:val>
          <c:extLst>
            <c:ext xmlns:c16="http://schemas.microsoft.com/office/drawing/2014/chart" uri="{C3380CC4-5D6E-409C-BE32-E72D297353CC}">
              <c16:uniqueId val="{00000001-9A75-4524-AD30-E743CE696267}"/>
            </c:ext>
          </c:extLst>
        </c:ser>
        <c:ser>
          <c:idx val="2"/>
          <c:order val="2"/>
          <c:tx>
            <c:strRef>
              <c:f>'Waterfall Chart_Example 2'!$D$1</c:f>
              <c:strCache>
                <c:ptCount val="1"/>
                <c:pt idx="0">
                  <c:v>Increase</c:v>
                </c:pt>
              </c:strCache>
            </c:strRef>
          </c:tx>
          <c:spPr>
            <a:solidFill>
              <a:srgbClr val="0CA0A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2'!$D$2:$D$15</c:f>
              <c:numCache>
                <c:formatCode>General</c:formatCode>
                <c:ptCount val="14"/>
                <c:pt idx="0">
                  <c:v>6000</c:v>
                </c:pt>
                <c:pt idx="1">
                  <c:v>1200</c:v>
                </c:pt>
                <c:pt idx="2">
                  <c:v>1100</c:v>
                </c:pt>
                <c:pt idx="3">
                  <c:v>0</c:v>
                </c:pt>
                <c:pt idx="4">
                  <c:v>1800</c:v>
                </c:pt>
                <c:pt idx="5">
                  <c:v>2000</c:v>
                </c:pt>
                <c:pt idx="6">
                  <c:v>0</c:v>
                </c:pt>
                <c:pt idx="7">
                  <c:v>1300</c:v>
                </c:pt>
                <c:pt idx="8">
                  <c:v>1500</c:v>
                </c:pt>
                <c:pt idx="9">
                  <c:v>0</c:v>
                </c:pt>
                <c:pt idx="10">
                  <c:v>0</c:v>
                </c:pt>
                <c:pt idx="11">
                  <c:v>0</c:v>
                </c:pt>
                <c:pt idx="12">
                  <c:v>1590</c:v>
                </c:pt>
              </c:numCache>
            </c:numRef>
          </c:val>
          <c:extLst>
            <c:ext xmlns:c16="http://schemas.microsoft.com/office/drawing/2014/chart" uri="{C3380CC4-5D6E-409C-BE32-E72D297353CC}">
              <c16:uniqueId val="{00000002-9A75-4524-AD30-E743CE696267}"/>
            </c:ext>
          </c:extLst>
        </c:ser>
        <c:dLbls>
          <c:showLegendKey val="0"/>
          <c:showVal val="0"/>
          <c:showCatName val="0"/>
          <c:showSerName val="0"/>
          <c:showPercent val="0"/>
          <c:showBubbleSize val="0"/>
        </c:dLbls>
        <c:gapWidth val="20"/>
        <c:overlap val="100"/>
        <c:axId val="476788528"/>
        <c:axId val="739383264"/>
      </c:barChart>
      <c:catAx>
        <c:axId val="47678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83264"/>
        <c:crosses val="autoZero"/>
        <c:auto val="1"/>
        <c:lblAlgn val="ctr"/>
        <c:lblOffset val="100"/>
        <c:noMultiLvlLbl val="0"/>
      </c:catAx>
      <c:valAx>
        <c:axId val="73938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88528"/>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Chart_Example'!$F$1:$F$2</c:f>
              <c:strCache>
                <c:ptCount val="1"/>
                <c:pt idx="0">
                  <c:v>DL_540</c:v>
                </c:pt>
              </c:strCache>
            </c:strRef>
          </c:tx>
          <c:spPr>
            <a:solidFill>
              <a:srgbClr val="0CA0A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Chart_Example'!$F$3:$F$12</c:f>
              <c:numCache>
                <c:formatCode>General</c:formatCode>
                <c:ptCount val="9"/>
                <c:pt idx="0">
                  <c:v>1090</c:v>
                </c:pt>
                <c:pt idx="3">
                  <c:v>2300</c:v>
                </c:pt>
                <c:pt idx="6">
                  <c:v>2500</c:v>
                </c:pt>
              </c:numCache>
            </c:numRef>
          </c:val>
          <c:extLst>
            <c:ext xmlns:c16="http://schemas.microsoft.com/office/drawing/2014/chart" uri="{C3380CC4-5D6E-409C-BE32-E72D297353CC}">
              <c16:uniqueId val="{00000000-9310-4466-832D-79427718D417}"/>
            </c:ext>
          </c:extLst>
        </c:ser>
        <c:ser>
          <c:idx val="1"/>
          <c:order val="1"/>
          <c:tx>
            <c:strRef>
              <c:f>'Pivot Chart_Example'!$G$1:$G$2</c:f>
              <c:strCache>
                <c:ptCount val="1"/>
                <c:pt idx="0">
                  <c:v>FK_831</c:v>
                </c:pt>
              </c:strCache>
            </c:strRef>
          </c:tx>
          <c:spPr>
            <a:solidFill>
              <a:schemeClr val="accent2"/>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Chart_Example'!$G$3:$G$12</c:f>
              <c:numCache>
                <c:formatCode>General</c:formatCode>
                <c:ptCount val="9"/>
                <c:pt idx="1">
                  <c:v>2000</c:v>
                </c:pt>
                <c:pt idx="7">
                  <c:v>2900</c:v>
                </c:pt>
                <c:pt idx="8">
                  <c:v>1800</c:v>
                </c:pt>
              </c:numCache>
            </c:numRef>
          </c:val>
          <c:extLst>
            <c:ext xmlns:c16="http://schemas.microsoft.com/office/drawing/2014/chart" uri="{C3380CC4-5D6E-409C-BE32-E72D297353CC}">
              <c16:uniqueId val="{00000001-9310-4466-832D-79427718D417}"/>
            </c:ext>
          </c:extLst>
        </c:ser>
        <c:ser>
          <c:idx val="2"/>
          <c:order val="2"/>
          <c:tx>
            <c:strRef>
              <c:f>'Pivot Chart_Example'!$H$1:$H$2</c:f>
              <c:strCache>
                <c:ptCount val="1"/>
                <c:pt idx="0">
                  <c:v>XT_912</c:v>
                </c:pt>
              </c:strCache>
            </c:strRef>
          </c:tx>
          <c:spPr>
            <a:solidFill>
              <a:srgbClr val="00206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Chart_Example'!$H$3:$H$12</c:f>
              <c:numCache>
                <c:formatCode>General</c:formatCode>
                <c:ptCount val="9"/>
                <c:pt idx="2">
                  <c:v>3000</c:v>
                </c:pt>
                <c:pt idx="4">
                  <c:v>1500</c:v>
                </c:pt>
                <c:pt idx="5">
                  <c:v>2200</c:v>
                </c:pt>
              </c:numCache>
            </c:numRef>
          </c:val>
          <c:extLst>
            <c:ext xmlns:c16="http://schemas.microsoft.com/office/drawing/2014/chart" uri="{C3380CC4-5D6E-409C-BE32-E72D297353CC}">
              <c16:uniqueId val="{00000002-9310-4466-832D-79427718D417}"/>
            </c:ext>
          </c:extLst>
        </c:ser>
        <c:dLbls>
          <c:showLegendKey val="0"/>
          <c:showVal val="0"/>
          <c:showCatName val="0"/>
          <c:showSerName val="0"/>
          <c:showPercent val="0"/>
          <c:showBubbleSize val="0"/>
        </c:dLbls>
        <c:gapWidth val="219"/>
        <c:overlap val="-27"/>
        <c:axId val="697105824"/>
        <c:axId val="703548272"/>
      </c:barChart>
      <c:catAx>
        <c:axId val="6971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Sales_Representative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48272"/>
        <c:crosses val="autoZero"/>
        <c:auto val="1"/>
        <c:lblAlgn val="ctr"/>
        <c:lblOffset val="100"/>
        <c:noMultiLvlLbl val="0"/>
      </c:catAx>
      <c:valAx>
        <c:axId val="7035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Chart_Create_Result!PivotTable8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Chart_Create_Result'!$B$3:$B$4</c:f>
              <c:strCache>
                <c:ptCount val="1"/>
                <c:pt idx="0">
                  <c:v>Apple</c:v>
                </c:pt>
              </c:strCache>
            </c:strRef>
          </c:tx>
          <c:spPr>
            <a:solidFill>
              <a:schemeClr val="accent1"/>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Chart_Create_Result'!$B$5:$B$10</c:f>
              <c:numCache>
                <c:formatCode>General</c:formatCode>
                <c:ptCount val="5"/>
                <c:pt idx="0">
                  <c:v>30000</c:v>
                </c:pt>
                <c:pt idx="1">
                  <c:v>31000</c:v>
                </c:pt>
                <c:pt idx="2">
                  <c:v>23420</c:v>
                </c:pt>
                <c:pt idx="3">
                  <c:v>25400</c:v>
                </c:pt>
                <c:pt idx="4">
                  <c:v>15000</c:v>
                </c:pt>
              </c:numCache>
            </c:numRef>
          </c:val>
          <c:extLst>
            <c:ext xmlns:c16="http://schemas.microsoft.com/office/drawing/2014/chart" uri="{C3380CC4-5D6E-409C-BE32-E72D297353CC}">
              <c16:uniqueId val="{00000000-5AA5-406D-B9E8-7F91FAB24F5D}"/>
            </c:ext>
          </c:extLst>
        </c:ser>
        <c:ser>
          <c:idx val="1"/>
          <c:order val="1"/>
          <c:tx>
            <c:strRef>
              <c:f>'Pivot Chart_Create_Result'!$C$3:$C$4</c:f>
              <c:strCache>
                <c:ptCount val="1"/>
                <c:pt idx="0">
                  <c:v>Banana</c:v>
                </c:pt>
              </c:strCache>
            </c:strRef>
          </c:tx>
          <c:spPr>
            <a:solidFill>
              <a:schemeClr val="accent2"/>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Chart_Create_Result'!$C$5:$C$10</c:f>
              <c:numCache>
                <c:formatCode>General</c:formatCode>
                <c:ptCount val="5"/>
                <c:pt idx="0">
                  <c:v>35000</c:v>
                </c:pt>
                <c:pt idx="1">
                  <c:v>31290</c:v>
                </c:pt>
                <c:pt idx="2">
                  <c:v>32550</c:v>
                </c:pt>
                <c:pt idx="3">
                  <c:v>30430</c:v>
                </c:pt>
                <c:pt idx="4">
                  <c:v>29180</c:v>
                </c:pt>
              </c:numCache>
            </c:numRef>
          </c:val>
          <c:extLst>
            <c:ext xmlns:c16="http://schemas.microsoft.com/office/drawing/2014/chart" uri="{C3380CC4-5D6E-409C-BE32-E72D297353CC}">
              <c16:uniqueId val="{00000001-5AA5-406D-B9E8-7F91FAB24F5D}"/>
            </c:ext>
          </c:extLst>
        </c:ser>
        <c:ser>
          <c:idx val="2"/>
          <c:order val="2"/>
          <c:tx>
            <c:strRef>
              <c:f>'Pivot Chart_Create_Result'!$D$3:$D$4</c:f>
              <c:strCache>
                <c:ptCount val="1"/>
                <c:pt idx="0">
                  <c:v>Peach</c:v>
                </c:pt>
              </c:strCache>
            </c:strRef>
          </c:tx>
          <c:spPr>
            <a:solidFill>
              <a:schemeClr val="accent3"/>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Chart_Create_Result'!$D$5:$D$10</c:f>
              <c:numCache>
                <c:formatCode>General</c:formatCode>
                <c:ptCount val="5"/>
                <c:pt idx="0">
                  <c:v>30320</c:v>
                </c:pt>
                <c:pt idx="1">
                  <c:v>31900</c:v>
                </c:pt>
                <c:pt idx="2">
                  <c:v>24820</c:v>
                </c:pt>
                <c:pt idx="3">
                  <c:v>25820</c:v>
                </c:pt>
                <c:pt idx="4">
                  <c:v>16000</c:v>
                </c:pt>
              </c:numCache>
            </c:numRef>
          </c:val>
          <c:extLst>
            <c:ext xmlns:c16="http://schemas.microsoft.com/office/drawing/2014/chart" uri="{C3380CC4-5D6E-409C-BE32-E72D297353CC}">
              <c16:uniqueId val="{00000002-5AA5-406D-B9E8-7F91FAB24F5D}"/>
            </c:ext>
          </c:extLst>
        </c:ser>
        <c:ser>
          <c:idx val="3"/>
          <c:order val="3"/>
          <c:tx>
            <c:strRef>
              <c:f>'Pivot Chart_Create_Result'!$E$3:$E$4</c:f>
              <c:strCache>
                <c:ptCount val="1"/>
                <c:pt idx="0">
                  <c:v>Pear</c:v>
                </c:pt>
              </c:strCache>
            </c:strRef>
          </c:tx>
          <c:spPr>
            <a:solidFill>
              <a:schemeClr val="accent4"/>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Chart_Create_Result'!$E$5:$E$10</c:f>
              <c:numCache>
                <c:formatCode>General</c:formatCode>
                <c:ptCount val="5"/>
                <c:pt idx="0">
                  <c:v>36820</c:v>
                </c:pt>
                <c:pt idx="1">
                  <c:v>35000</c:v>
                </c:pt>
                <c:pt idx="2">
                  <c:v>33220</c:v>
                </c:pt>
                <c:pt idx="3">
                  <c:v>30820</c:v>
                </c:pt>
                <c:pt idx="4">
                  <c:v>23800</c:v>
                </c:pt>
              </c:numCache>
            </c:numRef>
          </c:val>
          <c:extLst>
            <c:ext xmlns:c16="http://schemas.microsoft.com/office/drawing/2014/chart" uri="{C3380CC4-5D6E-409C-BE32-E72D297353CC}">
              <c16:uniqueId val="{00000003-5AA5-406D-B9E8-7F91FAB24F5D}"/>
            </c:ext>
          </c:extLst>
        </c:ser>
        <c:dLbls>
          <c:showLegendKey val="0"/>
          <c:showVal val="0"/>
          <c:showCatName val="0"/>
          <c:showSerName val="0"/>
          <c:showPercent val="0"/>
          <c:showBubbleSize val="0"/>
        </c:dLbls>
        <c:gapWidth val="219"/>
        <c:overlap val="-27"/>
        <c:axId val="368313776"/>
        <c:axId val="662644512"/>
      </c:barChart>
      <c:catAx>
        <c:axId val="3683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512"/>
        <c:crosses val="autoZero"/>
        <c:auto val="1"/>
        <c:lblAlgn val="ctr"/>
        <c:lblOffset val="100"/>
        <c:noMultiLvlLbl val="0"/>
      </c:catAx>
      <c:valAx>
        <c:axId val="6626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1_Result!PivotTable17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1_Result'!$B$4:$B$5</c:f>
              <c:strCache>
                <c:ptCount val="1"/>
                <c:pt idx="0">
                  <c:v>High</c:v>
                </c:pt>
              </c:strCache>
            </c:strRef>
          </c:tx>
          <c:spPr>
            <a:solidFill>
              <a:schemeClr val="accent1"/>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1_Result'!$B$6:$B$12</c:f>
              <c:numCache>
                <c:formatCode>General</c:formatCode>
                <c:ptCount val="6"/>
                <c:pt idx="0">
                  <c:v>200</c:v>
                </c:pt>
                <c:pt idx="1">
                  <c:v>210</c:v>
                </c:pt>
                <c:pt idx="2">
                  <c:v>150</c:v>
                </c:pt>
                <c:pt idx="3">
                  <c:v>90</c:v>
                </c:pt>
                <c:pt idx="4">
                  <c:v>250</c:v>
                </c:pt>
                <c:pt idx="5">
                  <c:v>100</c:v>
                </c:pt>
              </c:numCache>
            </c:numRef>
          </c:val>
          <c:extLst>
            <c:ext xmlns:c16="http://schemas.microsoft.com/office/drawing/2014/chart" uri="{C3380CC4-5D6E-409C-BE32-E72D297353CC}">
              <c16:uniqueId val="{00000000-DDF4-4068-8D06-644FC024B134}"/>
            </c:ext>
          </c:extLst>
        </c:ser>
        <c:ser>
          <c:idx val="1"/>
          <c:order val="1"/>
          <c:tx>
            <c:strRef>
              <c:f>'Pivot Chart_Example 1_Result'!$C$4:$C$5</c:f>
              <c:strCache>
                <c:ptCount val="1"/>
                <c:pt idx="0">
                  <c:v>Low</c:v>
                </c:pt>
              </c:strCache>
            </c:strRef>
          </c:tx>
          <c:spPr>
            <a:solidFill>
              <a:schemeClr val="accent2"/>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1_Result'!$C$6:$C$12</c:f>
              <c:numCache>
                <c:formatCode>General</c:formatCode>
                <c:ptCount val="6"/>
                <c:pt idx="0">
                  <c:v>210</c:v>
                </c:pt>
                <c:pt idx="1">
                  <c:v>200</c:v>
                </c:pt>
                <c:pt idx="2">
                  <c:v>120</c:v>
                </c:pt>
                <c:pt idx="3">
                  <c:v>120</c:v>
                </c:pt>
                <c:pt idx="4">
                  <c:v>300</c:v>
                </c:pt>
                <c:pt idx="5">
                  <c:v>150</c:v>
                </c:pt>
              </c:numCache>
            </c:numRef>
          </c:val>
          <c:extLst>
            <c:ext xmlns:c16="http://schemas.microsoft.com/office/drawing/2014/chart" uri="{C3380CC4-5D6E-409C-BE32-E72D297353CC}">
              <c16:uniqueId val="{00000002-DDF4-4068-8D06-644FC024B134}"/>
            </c:ext>
          </c:extLst>
        </c:ser>
        <c:dLbls>
          <c:showLegendKey val="0"/>
          <c:showVal val="0"/>
          <c:showCatName val="0"/>
          <c:showSerName val="0"/>
          <c:showPercent val="0"/>
          <c:showBubbleSize val="0"/>
        </c:dLbls>
        <c:gapWidth val="219"/>
        <c:overlap val="-27"/>
        <c:axId val="662904416"/>
        <c:axId val="783798992"/>
      </c:barChart>
      <c:catAx>
        <c:axId val="66290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992"/>
        <c:crosses val="autoZero"/>
        <c:auto val="1"/>
        <c:lblAlgn val="ctr"/>
        <c:lblOffset val="100"/>
        <c:noMultiLvlLbl val="0"/>
      </c:catAx>
      <c:valAx>
        <c:axId val="78379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2_Result!PivotTable18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2_Result'!$B$4:$B$5</c:f>
              <c:strCache>
                <c:ptCount val="1"/>
                <c:pt idx="0">
                  <c:v>4</c:v>
                </c:pt>
              </c:strCache>
            </c:strRef>
          </c:tx>
          <c:spPr>
            <a:solidFill>
              <a:schemeClr val="accent1"/>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2_Result'!$B$6:$B$9</c:f>
              <c:numCache>
                <c:formatCode>General</c:formatCode>
                <c:ptCount val="3"/>
                <c:pt idx="1">
                  <c:v>15</c:v>
                </c:pt>
              </c:numCache>
            </c:numRef>
          </c:val>
          <c:extLst>
            <c:ext xmlns:c16="http://schemas.microsoft.com/office/drawing/2014/chart" uri="{C3380CC4-5D6E-409C-BE32-E72D297353CC}">
              <c16:uniqueId val="{00000000-91CD-468F-97C3-0ACF7D28FB5A}"/>
            </c:ext>
          </c:extLst>
        </c:ser>
        <c:ser>
          <c:idx val="1"/>
          <c:order val="1"/>
          <c:tx>
            <c:strRef>
              <c:f>'Pivot Chart_Example 2_Result'!$C$4:$C$5</c:f>
              <c:strCache>
                <c:ptCount val="1"/>
                <c:pt idx="0">
                  <c:v>5</c:v>
                </c:pt>
              </c:strCache>
            </c:strRef>
          </c:tx>
          <c:spPr>
            <a:solidFill>
              <a:srgbClr val="0CA0A0"/>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2_Result'!$C$6:$C$9</c:f>
              <c:numCache>
                <c:formatCode>General</c:formatCode>
                <c:ptCount val="3"/>
                <c:pt idx="0">
                  <c:v>20</c:v>
                </c:pt>
                <c:pt idx="2">
                  <c:v>20</c:v>
                </c:pt>
              </c:numCache>
            </c:numRef>
          </c:val>
          <c:extLst>
            <c:ext xmlns:c16="http://schemas.microsoft.com/office/drawing/2014/chart" uri="{C3380CC4-5D6E-409C-BE32-E72D297353CC}">
              <c16:uniqueId val="{00000003-91CD-468F-97C3-0ACF7D28FB5A}"/>
            </c:ext>
          </c:extLst>
        </c:ser>
        <c:dLbls>
          <c:showLegendKey val="0"/>
          <c:showVal val="0"/>
          <c:showCatName val="0"/>
          <c:showSerName val="0"/>
          <c:showPercent val="0"/>
          <c:showBubbleSize val="0"/>
        </c:dLbls>
        <c:gapWidth val="219"/>
        <c:overlap val="-27"/>
        <c:axId val="368292976"/>
        <c:axId val="783798576"/>
      </c:barChart>
      <c:catAx>
        <c:axId val="36829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576"/>
        <c:crosses val="autoZero"/>
        <c:auto val="1"/>
        <c:lblAlgn val="ctr"/>
        <c:lblOffset val="100"/>
        <c:noMultiLvlLbl val="0"/>
      </c:catAx>
      <c:valAx>
        <c:axId val="7837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9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Chart_Edit Result!PivotTable1</c:name>
    <c:fmtId val="0"/>
  </c:pivotSource>
  <c:chart>
    <c:autoTitleDeleted val="1"/>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Chart_Edit Result'!$B$3:$B$4</c:f>
              <c:strCache>
                <c:ptCount val="1"/>
                <c:pt idx="0">
                  <c:v>Jan</c:v>
                </c:pt>
              </c:strCache>
            </c:strRef>
          </c:tx>
          <c:spPr>
            <a:solidFill>
              <a:schemeClr val="accent1"/>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Result'!$B$5:$B$10</c:f>
              <c:numCache>
                <c:formatCode>General</c:formatCode>
                <c:ptCount val="5"/>
                <c:pt idx="0">
                  <c:v>100000</c:v>
                </c:pt>
                <c:pt idx="1">
                  <c:v>150000</c:v>
                </c:pt>
                <c:pt idx="2">
                  <c:v>200000</c:v>
                </c:pt>
                <c:pt idx="3">
                  <c:v>230000</c:v>
                </c:pt>
                <c:pt idx="4">
                  <c:v>110000</c:v>
                </c:pt>
              </c:numCache>
            </c:numRef>
          </c:val>
          <c:extLst>
            <c:ext xmlns:c16="http://schemas.microsoft.com/office/drawing/2014/chart" uri="{C3380CC4-5D6E-409C-BE32-E72D297353CC}">
              <c16:uniqueId val="{00000000-6AA3-4A0F-9DF4-3E47CB54C7BD}"/>
            </c:ext>
          </c:extLst>
        </c:ser>
        <c:ser>
          <c:idx val="1"/>
          <c:order val="1"/>
          <c:tx>
            <c:strRef>
              <c:f>'Pivot Chart_Edit Result'!$C$3:$C$4</c:f>
              <c:strCache>
                <c:ptCount val="1"/>
                <c:pt idx="0">
                  <c:v>Feb</c:v>
                </c:pt>
              </c:strCache>
            </c:strRef>
          </c:tx>
          <c:spPr>
            <a:solidFill>
              <a:schemeClr val="accent2"/>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Result'!$C$5:$C$10</c:f>
              <c:numCache>
                <c:formatCode>General</c:formatCode>
                <c:ptCount val="5"/>
                <c:pt idx="0">
                  <c:v>290000</c:v>
                </c:pt>
                <c:pt idx="1">
                  <c:v>350000</c:v>
                </c:pt>
                <c:pt idx="2">
                  <c:v>300000</c:v>
                </c:pt>
                <c:pt idx="3">
                  <c:v>280000</c:v>
                </c:pt>
                <c:pt idx="4">
                  <c:v>250000</c:v>
                </c:pt>
              </c:numCache>
            </c:numRef>
          </c:val>
          <c:extLst>
            <c:ext xmlns:c16="http://schemas.microsoft.com/office/drawing/2014/chart" uri="{C3380CC4-5D6E-409C-BE32-E72D297353CC}">
              <c16:uniqueId val="{00000001-6AA3-4A0F-9DF4-3E47CB54C7BD}"/>
            </c:ext>
          </c:extLst>
        </c:ser>
        <c:ser>
          <c:idx val="2"/>
          <c:order val="2"/>
          <c:tx>
            <c:strRef>
              <c:f>'Pivot Chart_Edit Result'!$D$3:$D$4</c:f>
              <c:strCache>
                <c:ptCount val="1"/>
                <c:pt idx="0">
                  <c:v>Mar</c:v>
                </c:pt>
              </c:strCache>
            </c:strRef>
          </c:tx>
          <c:spPr>
            <a:solidFill>
              <a:schemeClr val="accent3"/>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Result'!$D$5:$D$10</c:f>
              <c:numCache>
                <c:formatCode>General</c:formatCode>
                <c:ptCount val="5"/>
                <c:pt idx="0">
                  <c:v>190000</c:v>
                </c:pt>
                <c:pt idx="1">
                  <c:v>240000</c:v>
                </c:pt>
                <c:pt idx="2">
                  <c:v>300000</c:v>
                </c:pt>
                <c:pt idx="3">
                  <c:v>390000</c:v>
                </c:pt>
                <c:pt idx="4">
                  <c:v>380000</c:v>
                </c:pt>
              </c:numCache>
            </c:numRef>
          </c:val>
          <c:extLst>
            <c:ext xmlns:c16="http://schemas.microsoft.com/office/drawing/2014/chart" uri="{C3380CC4-5D6E-409C-BE32-E72D297353CC}">
              <c16:uniqueId val="{00000000-5A8F-401C-AF93-A9B7778EBE49}"/>
            </c:ext>
          </c:extLst>
        </c:ser>
        <c:dLbls>
          <c:showLegendKey val="0"/>
          <c:showVal val="0"/>
          <c:showCatName val="0"/>
          <c:showSerName val="0"/>
          <c:showPercent val="0"/>
          <c:showBubbleSize val="0"/>
        </c:dLbls>
        <c:gapWidth val="219"/>
        <c:overlap val="-27"/>
        <c:axId val="1004696527"/>
        <c:axId val="1005019423"/>
      </c:barChart>
      <c:catAx>
        <c:axId val="10046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9423"/>
        <c:crosses val="autoZero"/>
        <c:auto val="1"/>
        <c:lblAlgn val="ctr"/>
        <c:lblOffset val="100"/>
        <c:noMultiLvlLbl val="0"/>
      </c:catAx>
      <c:valAx>
        <c:axId val="100501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69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Chart_FAQ!PivotTable2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Chart_FAQ'!$F$1:$F$2</c:f>
              <c:strCache>
                <c:ptCount val="1"/>
                <c:pt idx="0">
                  <c:v>Biology</c:v>
                </c:pt>
              </c:strCache>
            </c:strRef>
          </c:tx>
          <c:spPr>
            <a:solidFill>
              <a:schemeClr val="accent1"/>
            </a:solidFill>
            <a:ln>
              <a:noFill/>
            </a:ln>
            <a:effectLst/>
          </c:spPr>
          <c:invertIfNegative val="0"/>
          <c:cat>
            <c:strRef>
              <c:f>'Pivot Chart_FAQ'!$E$3:$E$7</c:f>
              <c:strCache>
                <c:ptCount val="4"/>
                <c:pt idx="0">
                  <c:v>Allen</c:v>
                </c:pt>
                <c:pt idx="1">
                  <c:v>Kelly</c:v>
                </c:pt>
                <c:pt idx="2">
                  <c:v>Mindy</c:v>
                </c:pt>
                <c:pt idx="3">
                  <c:v>Simon</c:v>
                </c:pt>
              </c:strCache>
            </c:strRef>
          </c:cat>
          <c:val>
            <c:numRef>
              <c:f>'Pivot Chart_FAQ'!$F$3:$F$7</c:f>
              <c:numCache>
                <c:formatCode>General</c:formatCode>
                <c:ptCount val="4"/>
                <c:pt idx="0">
                  <c:v>100</c:v>
                </c:pt>
                <c:pt idx="1">
                  <c:v>87</c:v>
                </c:pt>
                <c:pt idx="2">
                  <c:v>99</c:v>
                </c:pt>
                <c:pt idx="3">
                  <c:v>70</c:v>
                </c:pt>
              </c:numCache>
            </c:numRef>
          </c:val>
          <c:extLst>
            <c:ext xmlns:c16="http://schemas.microsoft.com/office/drawing/2014/chart" uri="{C3380CC4-5D6E-409C-BE32-E72D297353CC}">
              <c16:uniqueId val="{00000000-9DC4-406D-BF0E-CBC98FB3F319}"/>
            </c:ext>
          </c:extLst>
        </c:ser>
        <c:ser>
          <c:idx val="1"/>
          <c:order val="1"/>
          <c:tx>
            <c:strRef>
              <c:f>'Pivot Chart_FAQ'!$G$1:$G$2</c:f>
              <c:strCache>
                <c:ptCount val="1"/>
                <c:pt idx="0">
                  <c:v>Chemistry</c:v>
                </c:pt>
              </c:strCache>
            </c:strRef>
          </c:tx>
          <c:spPr>
            <a:solidFill>
              <a:schemeClr val="accent2"/>
            </a:solidFill>
            <a:ln>
              <a:noFill/>
            </a:ln>
            <a:effectLst/>
          </c:spPr>
          <c:invertIfNegative val="0"/>
          <c:cat>
            <c:strRef>
              <c:f>'Pivot Chart_FAQ'!$E$3:$E$7</c:f>
              <c:strCache>
                <c:ptCount val="4"/>
                <c:pt idx="0">
                  <c:v>Allen</c:v>
                </c:pt>
                <c:pt idx="1">
                  <c:v>Kelly</c:v>
                </c:pt>
                <c:pt idx="2">
                  <c:v>Mindy</c:v>
                </c:pt>
                <c:pt idx="3">
                  <c:v>Simon</c:v>
                </c:pt>
              </c:strCache>
            </c:strRef>
          </c:cat>
          <c:val>
            <c:numRef>
              <c:f>'Pivot Chart_FAQ'!$G$3:$G$7</c:f>
              <c:numCache>
                <c:formatCode>General</c:formatCode>
                <c:ptCount val="4"/>
                <c:pt idx="0">
                  <c:v>100</c:v>
                </c:pt>
                <c:pt idx="1">
                  <c:v>88</c:v>
                </c:pt>
                <c:pt idx="2">
                  <c:v>100</c:v>
                </c:pt>
                <c:pt idx="3">
                  <c:v>77</c:v>
                </c:pt>
              </c:numCache>
            </c:numRef>
          </c:val>
          <c:extLst>
            <c:ext xmlns:c16="http://schemas.microsoft.com/office/drawing/2014/chart" uri="{C3380CC4-5D6E-409C-BE32-E72D297353CC}">
              <c16:uniqueId val="{00000001-9DC4-406D-BF0E-CBC98FB3F319}"/>
            </c:ext>
          </c:extLst>
        </c:ser>
        <c:ser>
          <c:idx val="2"/>
          <c:order val="2"/>
          <c:tx>
            <c:strRef>
              <c:f>'Pivot Chart_FAQ'!$H$1:$H$2</c:f>
              <c:strCache>
                <c:ptCount val="1"/>
                <c:pt idx="0">
                  <c:v>Mathematics</c:v>
                </c:pt>
              </c:strCache>
            </c:strRef>
          </c:tx>
          <c:spPr>
            <a:solidFill>
              <a:schemeClr val="accent3"/>
            </a:solidFill>
            <a:ln>
              <a:noFill/>
            </a:ln>
            <a:effectLst/>
          </c:spPr>
          <c:invertIfNegative val="0"/>
          <c:cat>
            <c:strRef>
              <c:f>'Pivot Chart_FAQ'!$E$3:$E$7</c:f>
              <c:strCache>
                <c:ptCount val="4"/>
                <c:pt idx="0">
                  <c:v>Allen</c:v>
                </c:pt>
                <c:pt idx="1">
                  <c:v>Kelly</c:v>
                </c:pt>
                <c:pt idx="2">
                  <c:v>Mindy</c:v>
                </c:pt>
                <c:pt idx="3">
                  <c:v>Simon</c:v>
                </c:pt>
              </c:strCache>
            </c:strRef>
          </c:cat>
          <c:val>
            <c:numRef>
              <c:f>'Pivot Chart_FAQ'!$H$3:$H$7</c:f>
              <c:numCache>
                <c:formatCode>General</c:formatCode>
                <c:ptCount val="4"/>
                <c:pt idx="0">
                  <c:v>95</c:v>
                </c:pt>
                <c:pt idx="1">
                  <c:v>89</c:v>
                </c:pt>
                <c:pt idx="2">
                  <c:v>100</c:v>
                </c:pt>
                <c:pt idx="3">
                  <c:v>75</c:v>
                </c:pt>
              </c:numCache>
            </c:numRef>
          </c:val>
          <c:extLst>
            <c:ext xmlns:c16="http://schemas.microsoft.com/office/drawing/2014/chart" uri="{C3380CC4-5D6E-409C-BE32-E72D297353CC}">
              <c16:uniqueId val="{00000002-9DC4-406D-BF0E-CBC98FB3F319}"/>
            </c:ext>
          </c:extLst>
        </c:ser>
        <c:ser>
          <c:idx val="3"/>
          <c:order val="3"/>
          <c:tx>
            <c:strRef>
              <c:f>'Pivot Chart_FAQ'!$I$1:$I$2</c:f>
              <c:strCache>
                <c:ptCount val="1"/>
                <c:pt idx="0">
                  <c:v>Physics</c:v>
                </c:pt>
              </c:strCache>
            </c:strRef>
          </c:tx>
          <c:spPr>
            <a:solidFill>
              <a:schemeClr val="accent4"/>
            </a:solidFill>
            <a:ln>
              <a:noFill/>
            </a:ln>
            <a:effectLst/>
          </c:spPr>
          <c:invertIfNegative val="0"/>
          <c:cat>
            <c:strRef>
              <c:f>'Pivot Chart_FAQ'!$E$3:$E$7</c:f>
              <c:strCache>
                <c:ptCount val="4"/>
                <c:pt idx="0">
                  <c:v>Allen</c:v>
                </c:pt>
                <c:pt idx="1">
                  <c:v>Kelly</c:v>
                </c:pt>
                <c:pt idx="2">
                  <c:v>Mindy</c:v>
                </c:pt>
                <c:pt idx="3">
                  <c:v>Simon</c:v>
                </c:pt>
              </c:strCache>
            </c:strRef>
          </c:cat>
          <c:val>
            <c:numRef>
              <c:f>'Pivot Chart_FAQ'!$I$3:$I$7</c:f>
              <c:numCache>
                <c:formatCode>General</c:formatCode>
                <c:ptCount val="4"/>
                <c:pt idx="0">
                  <c:v>99</c:v>
                </c:pt>
                <c:pt idx="1">
                  <c:v>85</c:v>
                </c:pt>
                <c:pt idx="2">
                  <c:v>99</c:v>
                </c:pt>
                <c:pt idx="3">
                  <c:v>78</c:v>
                </c:pt>
              </c:numCache>
            </c:numRef>
          </c:val>
          <c:extLst>
            <c:ext xmlns:c16="http://schemas.microsoft.com/office/drawing/2014/chart" uri="{C3380CC4-5D6E-409C-BE32-E72D297353CC}">
              <c16:uniqueId val="{00000003-9DC4-406D-BF0E-CBC98FB3F319}"/>
            </c:ext>
          </c:extLst>
        </c:ser>
        <c:dLbls>
          <c:showLegendKey val="0"/>
          <c:showVal val="0"/>
          <c:showCatName val="0"/>
          <c:showSerName val="0"/>
          <c:showPercent val="0"/>
          <c:showBubbleSize val="0"/>
        </c:dLbls>
        <c:gapWidth val="219"/>
        <c:overlap val="-27"/>
        <c:axId val="1742716223"/>
        <c:axId val="1741492495"/>
      </c:barChart>
      <c:catAx>
        <c:axId val="17427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92495"/>
        <c:crosses val="autoZero"/>
        <c:auto val="1"/>
        <c:lblAlgn val="ctr"/>
        <c:lblOffset val="100"/>
        <c:noMultiLvlLbl val="0"/>
      </c:catAx>
      <c:valAx>
        <c:axId val="17414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Pareto Chart - Defect Causes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'Pareto Chart_ Create_1'!$B$1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Create_1'!$B$2:$B$8</c:f>
              <c:numCache>
                <c:formatCode>General</c:formatCode>
                <c:ptCount val="7"/>
                <c:pt idx="0">
                  <c:v>98</c:v>
                </c:pt>
                <c:pt idx="1">
                  <c:v>90</c:v>
                </c:pt>
                <c:pt idx="2">
                  <c:v>87</c:v>
                </c:pt>
                <c:pt idx="3">
                  <c:v>80</c:v>
                </c:pt>
                <c:pt idx="4">
                  <c:v>75</c:v>
                </c:pt>
                <c:pt idx="5">
                  <c:v>64</c:v>
                </c:pt>
                <c:pt idx="6">
                  <c:v>55</c:v>
                </c:pt>
              </c:numCache>
            </c:numRef>
          </c:val>
          <c:extLst>
            <c:ext xmlns:c16="http://schemas.microsoft.com/office/drawing/2014/chart" uri="{C3380CC4-5D6E-409C-BE32-E72D297353CC}">
              <c16:uniqueId val="{00000000-6AF8-4AB8-809B-00EA9D236740}"/>
            </c:ext>
          </c:extLst>
        </c:ser>
        <c:dLbls>
          <c:showLegendKey val="0"/>
          <c:showVal val="1"/>
          <c:showCatName val="0"/>
          <c:showSerName val="0"/>
          <c:showPercent val="0"/>
          <c:showBubbleSize val="0"/>
        </c:dLbls>
        <c:gapWidth val="5"/>
        <c:overlap val="-27"/>
        <c:axId val="1999335120"/>
        <c:axId val="1893886736"/>
      </c:barChart>
      <c:lineChart>
        <c:grouping val="standard"/>
        <c:varyColors val="0"/>
        <c:ser>
          <c:idx val="1"/>
          <c:order val="1"/>
          <c:tx>
            <c:strRef>
              <c:f>'Pareto Chart_ Create_1'!$C$1</c:f>
              <c:strCache>
                <c:ptCount val="1"/>
                <c:pt idx="0">
                  <c:v>Cumulative Total %</c:v>
                </c:pt>
              </c:strCache>
            </c:strRef>
          </c:tx>
          <c:spPr>
            <a:ln w="28575" cap="rnd">
              <a:solidFill>
                <a:schemeClr val="accent2"/>
              </a:solidFill>
              <a:round/>
            </a:ln>
            <a:effectLst/>
          </c:spPr>
          <c:marker>
            <c:symbol val="none"/>
          </c:marker>
          <c:dLbls>
            <c:delete val="1"/>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Create_1'!$C$2:$C$8</c:f>
              <c:numCache>
                <c:formatCode>0.00%</c:formatCode>
                <c:ptCount val="7"/>
                <c:pt idx="0">
                  <c:v>0.1785063752276867</c:v>
                </c:pt>
                <c:pt idx="1">
                  <c:v>0.34244080145719491</c:v>
                </c:pt>
                <c:pt idx="2">
                  <c:v>0.50091074681238612</c:v>
                </c:pt>
                <c:pt idx="3">
                  <c:v>0.6466302367941712</c:v>
                </c:pt>
                <c:pt idx="4">
                  <c:v>0.78324225865209474</c:v>
                </c:pt>
                <c:pt idx="5">
                  <c:v>0.89981785063752273</c:v>
                </c:pt>
                <c:pt idx="6">
                  <c:v>1</c:v>
                </c:pt>
              </c:numCache>
            </c:numRef>
          </c:val>
          <c:smooth val="0"/>
          <c:extLst>
            <c:ext xmlns:c16="http://schemas.microsoft.com/office/drawing/2014/chart" uri="{C3380CC4-5D6E-409C-BE32-E72D297353CC}">
              <c16:uniqueId val="{00000001-6AF8-4AB8-809B-00EA9D236740}"/>
            </c:ext>
          </c:extLst>
        </c:ser>
        <c:dLbls>
          <c:showLegendKey val="0"/>
          <c:showVal val="1"/>
          <c:showCatName val="0"/>
          <c:showSerName val="0"/>
          <c:showPercent val="0"/>
          <c:showBubbleSize val="0"/>
        </c:dLbls>
        <c:marker val="1"/>
        <c:smooth val="0"/>
        <c:axId val="1999216064"/>
        <c:axId val="1893887152"/>
      </c:lineChart>
      <c:catAx>
        <c:axId val="199933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Defect Cause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886736"/>
        <c:crosses val="autoZero"/>
        <c:auto val="1"/>
        <c:lblAlgn val="ctr"/>
        <c:lblOffset val="100"/>
        <c:noMultiLvlLbl val="0"/>
      </c:catAx>
      <c:valAx>
        <c:axId val="189388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335120"/>
        <c:crosses val="autoZero"/>
        <c:crossBetween val="between"/>
      </c:valAx>
      <c:valAx>
        <c:axId val="1893887152"/>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16064"/>
        <c:crosses val="max"/>
        <c:crossBetween val="between"/>
      </c:valAx>
      <c:catAx>
        <c:axId val="1999216064"/>
        <c:scaling>
          <c:orientation val="minMax"/>
        </c:scaling>
        <c:delete val="1"/>
        <c:axPos val="b"/>
        <c:numFmt formatCode="General" sourceLinked="1"/>
        <c:majorTickMark val="out"/>
        <c:minorTickMark val="none"/>
        <c:tickLblPos val="nextTo"/>
        <c:crossAx val="1893887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Dynamic Pareto Chart - Customer</a:t>
            </a:r>
            <a:r>
              <a:rPr lang="en-US" b="1" baseline="0"/>
              <a:t> Support Complaints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'Pareto Chart_Dynamic'!$D$1</c:f>
              <c:strCache>
                <c:ptCount val="1"/>
                <c:pt idx="0">
                  <c:v>Highlighted Bars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Chart_Dynamic'!$D$2:$D$7</c:f>
              <c:numCache>
                <c:formatCode>General</c:formatCode>
                <c:ptCount val="6"/>
                <c:pt idx="0">
                  <c:v>95</c:v>
                </c:pt>
                <c:pt idx="1">
                  <c:v>90</c:v>
                </c:pt>
                <c:pt idx="2">
                  <c:v>82</c:v>
                </c:pt>
                <c:pt idx="3">
                  <c:v>75</c:v>
                </c:pt>
                <c:pt idx="4">
                  <c:v>#N/A</c:v>
                </c:pt>
                <c:pt idx="5">
                  <c:v>#N/A</c:v>
                </c:pt>
              </c:numCache>
            </c:numRef>
          </c:val>
          <c:extLst>
            <c:ext xmlns:c16="http://schemas.microsoft.com/office/drawing/2014/chart" uri="{C3380CC4-5D6E-409C-BE32-E72D297353CC}">
              <c16:uniqueId val="{00000001-FA22-40BB-B789-6D7C79E8A6DB}"/>
            </c:ext>
          </c:extLst>
        </c:ser>
        <c:ser>
          <c:idx val="2"/>
          <c:order val="2"/>
          <c:tx>
            <c:strRef>
              <c:f>'Pareto Chart_Dynamic'!$E$1</c:f>
              <c:strCache>
                <c:ptCount val="1"/>
                <c:pt idx="0">
                  <c:v>Remaining Bars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Chart_Dynamic'!$E$2:$E$7</c:f>
              <c:numCache>
                <c:formatCode>General</c:formatCode>
                <c:ptCount val="6"/>
                <c:pt idx="0">
                  <c:v>#N/A</c:v>
                </c:pt>
                <c:pt idx="1">
                  <c:v>#N/A</c:v>
                </c:pt>
                <c:pt idx="2">
                  <c:v>#N/A</c:v>
                </c:pt>
                <c:pt idx="3">
                  <c:v>#N/A</c:v>
                </c:pt>
                <c:pt idx="4">
                  <c:v>63</c:v>
                </c:pt>
                <c:pt idx="5">
                  <c:v>50</c:v>
                </c:pt>
              </c:numCache>
            </c:numRef>
          </c:val>
          <c:extLst>
            <c:ext xmlns:c16="http://schemas.microsoft.com/office/drawing/2014/chart" uri="{C3380CC4-5D6E-409C-BE32-E72D297353CC}">
              <c16:uniqueId val="{00000002-FA22-40BB-B789-6D7C79E8A6DB}"/>
            </c:ext>
          </c:extLst>
        </c:ser>
        <c:dLbls>
          <c:showLegendKey val="0"/>
          <c:showVal val="1"/>
          <c:showCatName val="0"/>
          <c:showSerName val="0"/>
          <c:showPercent val="0"/>
          <c:showBubbleSize val="0"/>
        </c:dLbls>
        <c:gapWidth val="2"/>
        <c:axId val="2120684208"/>
        <c:axId val="148280720"/>
      </c:barChart>
      <c:lineChart>
        <c:grouping val="standard"/>
        <c:varyColors val="0"/>
        <c:ser>
          <c:idx val="0"/>
          <c:order val="0"/>
          <c:tx>
            <c:strRef>
              <c:f>'Pareto Chart_Dynamic'!$C$1</c:f>
              <c:strCache>
                <c:ptCount val="1"/>
                <c:pt idx="0">
                  <c:v>Cumulative Total %</c:v>
                </c:pt>
              </c:strCache>
            </c:strRef>
          </c:tx>
          <c:spPr>
            <a:ln w="28575" cap="rnd">
              <a:solidFill>
                <a:schemeClr val="accent1"/>
              </a:solidFill>
              <a:round/>
            </a:ln>
            <a:effectLst/>
          </c:spPr>
          <c:marker>
            <c:symbol val="none"/>
          </c:marker>
          <c:dLbls>
            <c:delete val="1"/>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Chart_Dynamic'!$C$2:$C$7</c:f>
              <c:numCache>
                <c:formatCode>General</c:formatCode>
                <c:ptCount val="6"/>
                <c:pt idx="0">
                  <c:v>20.87912087912088</c:v>
                </c:pt>
                <c:pt idx="1">
                  <c:v>40.659340659340657</c:v>
                </c:pt>
                <c:pt idx="2">
                  <c:v>58.681318681318686</c:v>
                </c:pt>
                <c:pt idx="3">
                  <c:v>75.164835164835168</c:v>
                </c:pt>
                <c:pt idx="4">
                  <c:v>89.010989010989007</c:v>
                </c:pt>
                <c:pt idx="5">
                  <c:v>100</c:v>
                </c:pt>
              </c:numCache>
            </c:numRef>
          </c:val>
          <c:smooth val="0"/>
          <c:extLst>
            <c:ext xmlns:c16="http://schemas.microsoft.com/office/drawing/2014/chart" uri="{C3380CC4-5D6E-409C-BE32-E72D297353CC}">
              <c16:uniqueId val="{00000000-FA22-40BB-B789-6D7C79E8A6DB}"/>
            </c:ext>
          </c:extLst>
        </c:ser>
        <c:dLbls>
          <c:showLegendKey val="0"/>
          <c:showVal val="1"/>
          <c:showCatName val="0"/>
          <c:showSerName val="0"/>
          <c:showPercent val="0"/>
          <c:showBubbleSize val="0"/>
        </c:dLbls>
        <c:marker val="1"/>
        <c:smooth val="0"/>
        <c:axId val="1961704352"/>
        <c:axId val="148284048"/>
      </c:lineChart>
      <c:catAx>
        <c:axId val="21206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Support - Complaints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0720"/>
        <c:crosses val="autoZero"/>
        <c:auto val="1"/>
        <c:lblAlgn val="ctr"/>
        <c:lblOffset val="100"/>
        <c:noMultiLvlLbl val="0"/>
      </c:catAx>
      <c:valAx>
        <c:axId val="14828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684208"/>
        <c:crosses val="autoZero"/>
        <c:crossBetween val="between"/>
      </c:valAx>
      <c:valAx>
        <c:axId val="148284048"/>
        <c:scaling>
          <c:orientation val="minMax"/>
          <c:max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04352"/>
        <c:crosses val="max"/>
        <c:crossBetween val="between"/>
      </c:valAx>
      <c:catAx>
        <c:axId val="1961704352"/>
        <c:scaling>
          <c:orientation val="minMax"/>
        </c:scaling>
        <c:delete val="1"/>
        <c:axPos val="b"/>
        <c:numFmt formatCode="General" sourceLinked="1"/>
        <c:majorTickMark val="out"/>
        <c:minorTickMark val="none"/>
        <c:tickLblPos val="nextTo"/>
        <c:crossAx val="14828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Height Frequency -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FREQ_FAQ!$E$1</c:f>
              <c:strCache>
                <c:ptCount val="1"/>
                <c:pt idx="0">
                  <c:v>Height Frequency</c:v>
                </c:pt>
              </c:strCache>
            </c:strRef>
          </c:tx>
          <c:spPr>
            <a:solidFill>
              <a:schemeClr val="accent1"/>
            </a:solidFill>
            <a:ln>
              <a:noFill/>
            </a:ln>
            <a:effectLst/>
          </c:spPr>
          <c:invertIfNegative val="0"/>
          <c:cat>
            <c:strRef>
              <c:f>FREQ_FAQ!$D$2:$D$6</c:f>
              <c:strCache>
                <c:ptCount val="5"/>
                <c:pt idx="0">
                  <c:v>0-150</c:v>
                </c:pt>
                <c:pt idx="1">
                  <c:v>151-160</c:v>
                </c:pt>
                <c:pt idx="2">
                  <c:v>161-170</c:v>
                </c:pt>
                <c:pt idx="3">
                  <c:v>171-180</c:v>
                </c:pt>
                <c:pt idx="4">
                  <c:v>181-190</c:v>
                </c:pt>
              </c:strCache>
            </c:strRef>
          </c:cat>
          <c:val>
            <c:numRef>
              <c:f>FREQ_FAQ!$E$2:$E$6</c:f>
              <c:numCache>
                <c:formatCode>General</c:formatCode>
                <c:ptCount val="5"/>
                <c:pt idx="0">
                  <c:v>1</c:v>
                </c:pt>
                <c:pt idx="1">
                  <c:v>3</c:v>
                </c:pt>
                <c:pt idx="2">
                  <c:v>3</c:v>
                </c:pt>
                <c:pt idx="3">
                  <c:v>2</c:v>
                </c:pt>
                <c:pt idx="4">
                  <c:v>1</c:v>
                </c:pt>
              </c:numCache>
            </c:numRef>
          </c:val>
          <c:extLst>
            <c:ext xmlns:c16="http://schemas.microsoft.com/office/drawing/2014/chart" uri="{C3380CC4-5D6E-409C-BE32-E72D297353CC}">
              <c16:uniqueId val="{00000000-E190-45A3-B4C3-BD4A0482EB74}"/>
            </c:ext>
          </c:extLst>
        </c:ser>
        <c:dLbls>
          <c:showLegendKey val="0"/>
          <c:showVal val="0"/>
          <c:showCatName val="0"/>
          <c:showSerName val="0"/>
          <c:showPercent val="0"/>
          <c:showBubbleSize val="0"/>
        </c:dLbls>
        <c:gapWidth val="5"/>
        <c:overlap val="-27"/>
        <c:axId val="457196031"/>
        <c:axId val="446475135"/>
      </c:barChart>
      <c:catAx>
        <c:axId val="45719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r>
                  <a:rPr lang="en-US" baseline="0"/>
                  <a:t> Interval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75135"/>
        <c:crosses val="autoZero"/>
        <c:auto val="1"/>
        <c:lblAlgn val="ctr"/>
        <c:lblOffset val="100"/>
        <c:noMultiLvlLbl val="0"/>
      </c:catAx>
      <c:valAx>
        <c:axId val="44647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2021 &amp;</a:t>
            </a:r>
            <a:r>
              <a:rPr lang="en-US" b="1" baseline="0"/>
              <a:t> Sales Forecast- 2022</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2021- Sales Trend</c:v>
          </c:tx>
          <c:spPr>
            <a:ln w="28575" cap="rnd">
              <a:solidFill>
                <a:srgbClr val="0CA0A0"/>
              </a:solidFill>
              <a:round/>
            </a:ln>
            <a:effectLst/>
          </c:spPr>
          <c:marker>
            <c:symbol val="circle"/>
            <c:size val="5"/>
            <c:spPr>
              <a:solidFill>
                <a:schemeClr val="accent1"/>
              </a:solidFill>
              <a:ln w="9525">
                <a:solidFill>
                  <a:srgbClr val="0CA0A0"/>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FORECAST_Example!$B$2:$B$19</c:f>
              <c:numCache>
                <c:formatCode>General</c:formatCode>
                <c:ptCount val="18"/>
                <c:pt idx="0">
                  <c:v>20500</c:v>
                </c:pt>
                <c:pt idx="1">
                  <c:v>21890</c:v>
                </c:pt>
                <c:pt idx="2">
                  <c:v>23450</c:v>
                </c:pt>
                <c:pt idx="3">
                  <c:v>24740</c:v>
                </c:pt>
                <c:pt idx="4">
                  <c:v>26320</c:v>
                </c:pt>
                <c:pt idx="5">
                  <c:v>27190</c:v>
                </c:pt>
                <c:pt idx="6">
                  <c:v>28200</c:v>
                </c:pt>
                <c:pt idx="7">
                  <c:v>29260</c:v>
                </c:pt>
                <c:pt idx="8">
                  <c:v>30000</c:v>
                </c:pt>
                <c:pt idx="9">
                  <c:v>31980</c:v>
                </c:pt>
                <c:pt idx="10">
                  <c:v>32730</c:v>
                </c:pt>
                <c:pt idx="11">
                  <c:v>33410</c:v>
                </c:pt>
              </c:numCache>
            </c:numRef>
          </c:val>
          <c:smooth val="0"/>
          <c:extLst>
            <c:ext xmlns:c16="http://schemas.microsoft.com/office/drawing/2014/chart" uri="{C3380CC4-5D6E-409C-BE32-E72D297353CC}">
              <c16:uniqueId val="{00000000-ECAA-42CC-A77B-280BEC857BDF}"/>
            </c:ext>
          </c:extLst>
        </c:ser>
        <c:ser>
          <c:idx val="1"/>
          <c:order val="1"/>
          <c:tx>
            <c:v>2022- Predicted Sales Trend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FORECAST_Example!$C$2:$C$19</c:f>
              <c:numCache>
                <c:formatCode>General</c:formatCode>
                <c:ptCount val="18"/>
                <c:pt idx="12">
                  <c:v>35121.877375671407</c:v>
                </c:pt>
                <c:pt idx="13">
                  <c:v>36316.490467086202</c:v>
                </c:pt>
                <c:pt idx="14">
                  <c:v>37395.495839976938</c:v>
                </c:pt>
                <c:pt idx="15">
                  <c:v>38590.108931391733</c:v>
                </c:pt>
                <c:pt idx="16">
                  <c:v>39746.186116631608</c:v>
                </c:pt>
                <c:pt idx="17">
                  <c:v>40940.799208046403</c:v>
                </c:pt>
              </c:numCache>
            </c:numRef>
          </c:val>
          <c:smooth val="0"/>
          <c:extLst>
            <c:ext xmlns:c16="http://schemas.microsoft.com/office/drawing/2014/chart" uri="{C3380CC4-5D6E-409C-BE32-E72D297353CC}">
              <c16:uniqueId val="{00000001-ECAA-42CC-A77B-280BEC857BDF}"/>
            </c:ext>
          </c:extLst>
        </c:ser>
        <c:dLbls>
          <c:showLegendKey val="0"/>
          <c:showVal val="0"/>
          <c:showCatName val="0"/>
          <c:showSerName val="0"/>
          <c:showPercent val="0"/>
          <c:showBubbleSize val="0"/>
        </c:dLbls>
        <c:marker val="1"/>
        <c:smooth val="0"/>
        <c:axId val="1249029696"/>
        <c:axId val="1186971936"/>
      </c:lineChart>
      <c:dateAx>
        <c:axId val="1249029696"/>
        <c:scaling>
          <c:orientation val="minMax"/>
          <c:max val="44737"/>
          <c:min val="4422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71936"/>
        <c:crosses val="autoZero"/>
        <c:auto val="1"/>
        <c:lblOffset val="100"/>
        <c:baseTimeUnit val="months"/>
      </c:dateAx>
      <c:valAx>
        <c:axId val="118697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2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Number of Store Visitors</a:t>
            </a:r>
            <a:r>
              <a:rPr lang="en-US" sz="1100" b="1" baseline="0"/>
              <a:t> (11th-20th May,2022)- Forecast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1st-10th May, 2022- Store Visitors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FORECAST_Use!$B$2:$B$21</c:f>
              <c:numCache>
                <c:formatCode>General</c:formatCode>
                <c:ptCount val="20"/>
                <c:pt idx="0">
                  <c:v>110</c:v>
                </c:pt>
                <c:pt idx="1">
                  <c:v>135</c:v>
                </c:pt>
                <c:pt idx="2">
                  <c:v>120</c:v>
                </c:pt>
                <c:pt idx="3">
                  <c:v>140</c:v>
                </c:pt>
                <c:pt idx="4">
                  <c:v>145</c:v>
                </c:pt>
                <c:pt idx="5">
                  <c:v>165</c:v>
                </c:pt>
                <c:pt idx="6">
                  <c:v>150</c:v>
                </c:pt>
                <c:pt idx="7">
                  <c:v>155</c:v>
                </c:pt>
                <c:pt idx="8">
                  <c:v>163</c:v>
                </c:pt>
                <c:pt idx="9">
                  <c:v>170</c:v>
                </c:pt>
              </c:numCache>
            </c:numRef>
          </c:val>
          <c:smooth val="0"/>
          <c:extLst>
            <c:ext xmlns:c16="http://schemas.microsoft.com/office/drawing/2014/chart" uri="{C3380CC4-5D6E-409C-BE32-E72D297353CC}">
              <c16:uniqueId val="{00000000-510F-455F-B629-7E2F0844633C}"/>
            </c:ext>
          </c:extLst>
        </c:ser>
        <c:ser>
          <c:idx val="1"/>
          <c:order val="1"/>
          <c:tx>
            <c:v>11th-20th May, 2022- Store Visitors Count Forecast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FORECAST_Use!$C$2:$C$21</c:f>
              <c:numCache>
                <c:formatCode>General</c:formatCode>
                <c:ptCount val="20"/>
                <c:pt idx="10">
                  <c:v>177.33333333331393</c:v>
                </c:pt>
                <c:pt idx="11">
                  <c:v>183.15757575756288</c:v>
                </c:pt>
                <c:pt idx="12">
                  <c:v>188.98181818181183</c:v>
                </c:pt>
                <c:pt idx="13">
                  <c:v>194.80606060603168</c:v>
                </c:pt>
                <c:pt idx="14">
                  <c:v>200.63030303028063</c:v>
                </c:pt>
                <c:pt idx="15">
                  <c:v>206.45454545452958</c:v>
                </c:pt>
                <c:pt idx="16">
                  <c:v>212.27878787877853</c:v>
                </c:pt>
                <c:pt idx="17">
                  <c:v>218.10303030302748</c:v>
                </c:pt>
                <c:pt idx="18">
                  <c:v>223.92727272724733</c:v>
                </c:pt>
                <c:pt idx="19">
                  <c:v>229.75151515149628</c:v>
                </c:pt>
              </c:numCache>
            </c:numRef>
          </c:val>
          <c:smooth val="0"/>
          <c:extLst>
            <c:ext xmlns:c16="http://schemas.microsoft.com/office/drawing/2014/chart" uri="{C3380CC4-5D6E-409C-BE32-E72D297353CC}">
              <c16:uniqueId val="{00000001-510F-455F-B629-7E2F0844633C}"/>
            </c:ext>
          </c:extLst>
        </c:ser>
        <c:dLbls>
          <c:showLegendKey val="0"/>
          <c:showVal val="0"/>
          <c:showCatName val="0"/>
          <c:showSerName val="0"/>
          <c:showPercent val="0"/>
          <c:showBubbleSize val="0"/>
        </c:dLbls>
        <c:marker val="1"/>
        <c:smooth val="0"/>
        <c:axId val="1160511584"/>
        <c:axId val="1336814544"/>
      </c:lineChart>
      <c:dateAx>
        <c:axId val="1160511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14544"/>
        <c:crosses val="autoZero"/>
        <c:auto val="1"/>
        <c:lblOffset val="100"/>
        <c:baseTimeUnit val="days"/>
      </c:dateAx>
      <c:valAx>
        <c:axId val="133681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Store Visitors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1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Exponential Graph</a:t>
            </a:r>
            <a:r>
              <a:rPr lang="en-US" b="1" baseline="0"/>
              <a:t> Using</a:t>
            </a:r>
            <a:r>
              <a:rPr lang="en-US" b="1"/>
              <a:t> POWER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'POWER_FAQ 1'!$B$1</c:f>
              <c:strCache>
                <c:ptCount val="1"/>
                <c:pt idx="0">
                  <c:v>y = x^n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'POWER_FAQ 1'!$A$2:$A$11</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'POWER_FAQ 1'!$B$2:$B$11</c:f>
              <c:numCache>
                <c:formatCode>General</c:formatCode>
                <c:ptCount val="10"/>
                <c:pt idx="0">
                  <c:v>1000</c:v>
                </c:pt>
                <c:pt idx="1">
                  <c:v>8000</c:v>
                </c:pt>
                <c:pt idx="2">
                  <c:v>27000</c:v>
                </c:pt>
                <c:pt idx="3">
                  <c:v>64000</c:v>
                </c:pt>
                <c:pt idx="4">
                  <c:v>125000</c:v>
                </c:pt>
                <c:pt idx="5">
                  <c:v>216000</c:v>
                </c:pt>
                <c:pt idx="6">
                  <c:v>343000</c:v>
                </c:pt>
                <c:pt idx="7">
                  <c:v>512000</c:v>
                </c:pt>
                <c:pt idx="8">
                  <c:v>729000</c:v>
                </c:pt>
                <c:pt idx="9">
                  <c:v>1000000</c:v>
                </c:pt>
              </c:numCache>
            </c:numRef>
          </c:yVal>
          <c:smooth val="1"/>
          <c:extLst>
            <c:ext xmlns:c16="http://schemas.microsoft.com/office/drawing/2014/chart" uri="{C3380CC4-5D6E-409C-BE32-E72D297353CC}">
              <c16:uniqueId val="{00000000-52C0-42A7-9F8B-C476FECB4ACE}"/>
            </c:ext>
          </c:extLst>
        </c:ser>
        <c:dLbls>
          <c:dLblPos val="t"/>
          <c:showLegendKey val="0"/>
          <c:showVal val="1"/>
          <c:showCatName val="0"/>
          <c:showSerName val="0"/>
          <c:showPercent val="0"/>
          <c:showBubbleSize val="0"/>
        </c:dLbls>
        <c:axId val="1643478063"/>
        <c:axId val="1594051743"/>
      </c:scatterChart>
      <c:valAx>
        <c:axId val="1643478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743"/>
        <c:crosses val="autoZero"/>
        <c:crossBetween val="midCat"/>
      </c:valAx>
      <c:valAx>
        <c:axId val="159405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7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Exponential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'GROWTH_FAQ 1'!$B$1</c:f>
              <c:strCache>
                <c:ptCount val="1"/>
                <c:pt idx="0">
                  <c:v>Y Values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'GROWTH_FAQ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'GROWTH_FAQ 1'!$B$2:$B$11</c:f>
              <c:numCache>
                <c:formatCode>General</c:formatCode>
                <c:ptCount val="10"/>
                <c:pt idx="0">
                  <c:v>6</c:v>
                </c:pt>
                <c:pt idx="1">
                  <c:v>18</c:v>
                </c:pt>
                <c:pt idx="2">
                  <c:v>54</c:v>
                </c:pt>
                <c:pt idx="3">
                  <c:v>162</c:v>
                </c:pt>
                <c:pt idx="4">
                  <c:v>486</c:v>
                </c:pt>
                <c:pt idx="5">
                  <c:v>1457.9999999999989</c:v>
                </c:pt>
                <c:pt idx="6">
                  <c:v>4373.9999999999982</c:v>
                </c:pt>
                <c:pt idx="7">
                  <c:v>13121.999999999985</c:v>
                </c:pt>
                <c:pt idx="8">
                  <c:v>39365.999999999935</c:v>
                </c:pt>
                <c:pt idx="9">
                  <c:v>118097.99999999974</c:v>
                </c:pt>
              </c:numCache>
            </c:numRef>
          </c:yVal>
          <c:smooth val="0"/>
          <c:extLst>
            <c:ext xmlns:c16="http://schemas.microsoft.com/office/drawing/2014/chart" uri="{C3380CC4-5D6E-409C-BE32-E72D297353CC}">
              <c16:uniqueId val="{00000000-E80A-4EBE-AE17-A6010D0A1B3A}"/>
            </c:ext>
          </c:extLst>
        </c:ser>
        <c:dLbls>
          <c:showLegendKey val="0"/>
          <c:showVal val="0"/>
          <c:showCatName val="0"/>
          <c:showSerName val="0"/>
          <c:showPercent val="0"/>
          <c:showBubbleSize val="0"/>
        </c:dLbls>
        <c:axId val="122934159"/>
        <c:axId val="123037343"/>
      </c:scatterChart>
      <c:valAx>
        <c:axId val="122934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37343"/>
        <c:crosses val="autoZero"/>
        <c:crossBetween val="midCat"/>
      </c:valAx>
      <c:valAx>
        <c:axId val="12303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r>
                  <a:rPr lang="en-US" baseline="0"/>
                  <a:t> Values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Stock Price</a:t>
            </a:r>
            <a:r>
              <a:rPr lang="en-US" b="1" baseline="0"/>
              <a:t> Fluctuations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Chart_Example'!$B$2</c:f>
              <c:strCache>
                <c:ptCount val="1"/>
                <c:pt idx="0">
                  <c:v>Opening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Chart_Example'!$B$3:$B$7</c:f>
              <c:numCache>
                <c:formatCode>"$"#,##0.00</c:formatCode>
                <c:ptCount val="5"/>
                <c:pt idx="0">
                  <c:v>25.43</c:v>
                </c:pt>
                <c:pt idx="1">
                  <c:v>26.55</c:v>
                </c:pt>
                <c:pt idx="2">
                  <c:v>27.38</c:v>
                </c:pt>
                <c:pt idx="3">
                  <c:v>27.59</c:v>
                </c:pt>
                <c:pt idx="4">
                  <c:v>28.38</c:v>
                </c:pt>
              </c:numCache>
            </c:numRef>
          </c:val>
          <c:smooth val="0"/>
          <c:extLst>
            <c:ext xmlns:c16="http://schemas.microsoft.com/office/drawing/2014/chart" uri="{C3380CC4-5D6E-409C-BE32-E72D297353CC}">
              <c16:uniqueId val="{00000000-48CF-42E5-9A56-D229D7C260C3}"/>
            </c:ext>
          </c:extLst>
        </c:ser>
        <c:ser>
          <c:idx val="1"/>
          <c:order val="1"/>
          <c:tx>
            <c:strRef>
              <c:f>'Stock Chart_Example'!$C$2</c:f>
              <c:strCache>
                <c:ptCount val="1"/>
                <c:pt idx="0">
                  <c:v>High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Chart_Example'!$C$3:$C$7</c:f>
              <c:numCache>
                <c:formatCode>"$"#,##0.00</c:formatCode>
                <c:ptCount val="5"/>
                <c:pt idx="0">
                  <c:v>26.28</c:v>
                </c:pt>
                <c:pt idx="1">
                  <c:v>26.98</c:v>
                </c:pt>
                <c:pt idx="2">
                  <c:v>28.74</c:v>
                </c:pt>
                <c:pt idx="3">
                  <c:v>27.99</c:v>
                </c:pt>
                <c:pt idx="4">
                  <c:v>28.92</c:v>
                </c:pt>
              </c:numCache>
            </c:numRef>
          </c:val>
          <c:smooth val="0"/>
          <c:extLst>
            <c:ext xmlns:c16="http://schemas.microsoft.com/office/drawing/2014/chart" uri="{C3380CC4-5D6E-409C-BE32-E72D297353CC}">
              <c16:uniqueId val="{00000001-48CF-42E5-9A56-D229D7C260C3}"/>
            </c:ext>
          </c:extLst>
        </c:ser>
        <c:ser>
          <c:idx val="2"/>
          <c:order val="2"/>
          <c:tx>
            <c:strRef>
              <c:f>'Stock Chart_Example'!$D$2</c:f>
              <c:strCache>
                <c:ptCount val="1"/>
                <c:pt idx="0">
                  <c:v>Low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Chart_Example'!$D$3:$D$7</c:f>
              <c:numCache>
                <c:formatCode>"$"#,##0.00</c:formatCode>
                <c:ptCount val="5"/>
                <c:pt idx="0">
                  <c:v>25.15</c:v>
                </c:pt>
                <c:pt idx="1">
                  <c:v>25.22</c:v>
                </c:pt>
                <c:pt idx="2">
                  <c:v>27.09</c:v>
                </c:pt>
                <c:pt idx="3">
                  <c:v>26.93</c:v>
                </c:pt>
                <c:pt idx="4">
                  <c:v>27.87</c:v>
                </c:pt>
              </c:numCache>
            </c:numRef>
          </c:val>
          <c:smooth val="0"/>
          <c:extLst>
            <c:ext xmlns:c16="http://schemas.microsoft.com/office/drawing/2014/chart" uri="{C3380CC4-5D6E-409C-BE32-E72D297353CC}">
              <c16:uniqueId val="{00000002-48CF-42E5-9A56-D229D7C260C3}"/>
            </c:ext>
          </c:extLst>
        </c:ser>
        <c:ser>
          <c:idx val="3"/>
          <c:order val="3"/>
          <c:tx>
            <c:strRef>
              <c:f>'Stock Chart_Example'!$E$2</c:f>
              <c:strCache>
                <c:ptCount val="1"/>
                <c:pt idx="0">
                  <c:v>Closing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Chart_Example'!$E$3:$E$7</c:f>
              <c:numCache>
                <c:formatCode>"$"#,##0.00</c:formatCode>
                <c:ptCount val="5"/>
                <c:pt idx="0">
                  <c:v>25.61</c:v>
                </c:pt>
                <c:pt idx="1">
                  <c:v>25.42</c:v>
                </c:pt>
                <c:pt idx="2">
                  <c:v>27.13</c:v>
                </c:pt>
                <c:pt idx="3">
                  <c:v>27.46</c:v>
                </c:pt>
                <c:pt idx="4">
                  <c:v>28.85</c:v>
                </c:pt>
              </c:numCache>
            </c:numRef>
          </c:val>
          <c:smooth val="0"/>
          <c:extLst>
            <c:ext xmlns:c16="http://schemas.microsoft.com/office/drawing/2014/chart" uri="{C3380CC4-5D6E-409C-BE32-E72D297353CC}">
              <c16:uniqueId val="{00000003-48CF-42E5-9A56-D229D7C260C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7026960"/>
        <c:axId val="457155760"/>
      </c:stockChart>
      <c:dateAx>
        <c:axId val="46702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5760"/>
        <c:crosses val="autoZero"/>
        <c:auto val="1"/>
        <c:lblOffset val="100"/>
        <c:baseTimeUnit val="days"/>
      </c:dateAx>
      <c:valAx>
        <c:axId val="4571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Stock Chart- Stock Price Fluctuations </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Chart_Use'!$B$2</c:f>
              <c:strCache>
                <c:ptCount val="1"/>
                <c:pt idx="0">
                  <c:v>Opening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Chart_Use'!$B$3:$B$12</c:f>
              <c:numCache>
                <c:formatCode>"$"#,##0.00</c:formatCode>
                <c:ptCount val="10"/>
                <c:pt idx="0">
                  <c:v>22</c:v>
                </c:pt>
                <c:pt idx="1">
                  <c:v>23</c:v>
                </c:pt>
                <c:pt idx="2">
                  <c:v>24</c:v>
                </c:pt>
                <c:pt idx="3">
                  <c:v>24</c:v>
                </c:pt>
                <c:pt idx="4">
                  <c:v>25</c:v>
                </c:pt>
                <c:pt idx="5">
                  <c:v>26</c:v>
                </c:pt>
                <c:pt idx="6">
                  <c:v>26</c:v>
                </c:pt>
                <c:pt idx="7">
                  <c:v>27</c:v>
                </c:pt>
                <c:pt idx="8">
                  <c:v>28</c:v>
                </c:pt>
                <c:pt idx="9">
                  <c:v>28</c:v>
                </c:pt>
              </c:numCache>
            </c:numRef>
          </c:val>
          <c:smooth val="0"/>
          <c:extLst>
            <c:ext xmlns:c16="http://schemas.microsoft.com/office/drawing/2014/chart" uri="{C3380CC4-5D6E-409C-BE32-E72D297353CC}">
              <c16:uniqueId val="{00000000-C36D-435A-8E28-880AAAC6FF22}"/>
            </c:ext>
          </c:extLst>
        </c:ser>
        <c:ser>
          <c:idx val="1"/>
          <c:order val="1"/>
          <c:tx>
            <c:strRef>
              <c:f>'Stock Chart_Use'!$C$2</c:f>
              <c:strCache>
                <c:ptCount val="1"/>
                <c:pt idx="0">
                  <c:v>High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Chart_Use'!$C$3:$C$12</c:f>
              <c:numCache>
                <c:formatCode>"$"#,##0.00</c:formatCode>
                <c:ptCount val="10"/>
                <c:pt idx="0">
                  <c:v>25</c:v>
                </c:pt>
                <c:pt idx="1">
                  <c:v>24</c:v>
                </c:pt>
                <c:pt idx="2">
                  <c:v>27</c:v>
                </c:pt>
                <c:pt idx="3">
                  <c:v>26</c:v>
                </c:pt>
                <c:pt idx="4">
                  <c:v>29</c:v>
                </c:pt>
                <c:pt idx="5">
                  <c:v>31</c:v>
                </c:pt>
                <c:pt idx="6">
                  <c:v>28</c:v>
                </c:pt>
                <c:pt idx="7">
                  <c:v>35</c:v>
                </c:pt>
                <c:pt idx="8">
                  <c:v>29</c:v>
                </c:pt>
                <c:pt idx="9">
                  <c:v>34</c:v>
                </c:pt>
              </c:numCache>
            </c:numRef>
          </c:val>
          <c:smooth val="0"/>
          <c:extLst>
            <c:ext xmlns:c16="http://schemas.microsoft.com/office/drawing/2014/chart" uri="{C3380CC4-5D6E-409C-BE32-E72D297353CC}">
              <c16:uniqueId val="{00000001-C36D-435A-8E28-880AAAC6FF22}"/>
            </c:ext>
          </c:extLst>
        </c:ser>
        <c:ser>
          <c:idx val="2"/>
          <c:order val="2"/>
          <c:tx>
            <c:strRef>
              <c:f>'Stock Chart_Use'!$D$2</c:f>
              <c:strCache>
                <c:ptCount val="1"/>
                <c:pt idx="0">
                  <c:v>Low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Chart_Use'!$D$3:$D$12</c:f>
              <c:numCache>
                <c:formatCode>"$"#,##0.00</c:formatCode>
                <c:ptCount val="10"/>
                <c:pt idx="0">
                  <c:v>21</c:v>
                </c:pt>
                <c:pt idx="1">
                  <c:v>22</c:v>
                </c:pt>
                <c:pt idx="2">
                  <c:v>22</c:v>
                </c:pt>
                <c:pt idx="3">
                  <c:v>21</c:v>
                </c:pt>
                <c:pt idx="4">
                  <c:v>23</c:v>
                </c:pt>
                <c:pt idx="5">
                  <c:v>24</c:v>
                </c:pt>
                <c:pt idx="6">
                  <c:v>25</c:v>
                </c:pt>
                <c:pt idx="7">
                  <c:v>24</c:v>
                </c:pt>
                <c:pt idx="8">
                  <c:v>25</c:v>
                </c:pt>
                <c:pt idx="9">
                  <c:v>23</c:v>
                </c:pt>
              </c:numCache>
            </c:numRef>
          </c:val>
          <c:smooth val="0"/>
          <c:extLst>
            <c:ext xmlns:c16="http://schemas.microsoft.com/office/drawing/2014/chart" uri="{C3380CC4-5D6E-409C-BE32-E72D297353CC}">
              <c16:uniqueId val="{00000002-C36D-435A-8E28-880AAAC6FF22}"/>
            </c:ext>
          </c:extLst>
        </c:ser>
        <c:ser>
          <c:idx val="3"/>
          <c:order val="3"/>
          <c:tx>
            <c:strRef>
              <c:f>'Stock Chart_Use'!$E$2</c:f>
              <c:strCache>
                <c:ptCount val="1"/>
                <c:pt idx="0">
                  <c:v>Closing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Chart_Use'!$E$3:$E$12</c:f>
              <c:numCache>
                <c:formatCode>"$"#,##0.00</c:formatCode>
                <c:ptCount val="10"/>
                <c:pt idx="0">
                  <c:v>23</c:v>
                </c:pt>
                <c:pt idx="1">
                  <c:v>23</c:v>
                </c:pt>
                <c:pt idx="2">
                  <c:v>25</c:v>
                </c:pt>
                <c:pt idx="3">
                  <c:v>22</c:v>
                </c:pt>
                <c:pt idx="4">
                  <c:v>30</c:v>
                </c:pt>
                <c:pt idx="5">
                  <c:v>28</c:v>
                </c:pt>
                <c:pt idx="6">
                  <c:v>21</c:v>
                </c:pt>
                <c:pt idx="7">
                  <c:v>32</c:v>
                </c:pt>
                <c:pt idx="8">
                  <c:v>28</c:v>
                </c:pt>
                <c:pt idx="9">
                  <c:v>25</c:v>
                </c:pt>
              </c:numCache>
            </c:numRef>
          </c:val>
          <c:smooth val="0"/>
          <c:extLst>
            <c:ext xmlns:c16="http://schemas.microsoft.com/office/drawing/2014/chart" uri="{C3380CC4-5D6E-409C-BE32-E72D297353CC}">
              <c16:uniqueId val="{00000003-C36D-435A-8E28-880AAAC6FF2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70159200"/>
        <c:axId val="470326336"/>
      </c:stockChart>
      <c:dateAx>
        <c:axId val="47015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26336"/>
        <c:crosses val="autoZero"/>
        <c:auto val="1"/>
        <c:lblOffset val="100"/>
        <c:baseTimeUnit val="days"/>
      </c:dateAx>
      <c:valAx>
        <c:axId val="470326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5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Daily Temperature Fluctuations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'Stock_Example 1'!$B$2</c:f>
              <c:strCache>
                <c:ptCount val="1"/>
                <c:pt idx="0">
                  <c:v>High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1'!$B$3:$B$7</c:f>
              <c:numCache>
                <c:formatCode>General</c:formatCode>
                <c:ptCount val="5"/>
                <c:pt idx="0">
                  <c:v>37</c:v>
                </c:pt>
                <c:pt idx="1">
                  <c:v>35</c:v>
                </c:pt>
                <c:pt idx="2">
                  <c:v>32</c:v>
                </c:pt>
                <c:pt idx="3">
                  <c:v>36</c:v>
                </c:pt>
                <c:pt idx="4">
                  <c:v>33</c:v>
                </c:pt>
              </c:numCache>
            </c:numRef>
          </c:val>
          <c:smooth val="0"/>
          <c:extLst>
            <c:ext xmlns:c16="http://schemas.microsoft.com/office/drawing/2014/chart" uri="{C3380CC4-5D6E-409C-BE32-E72D297353CC}">
              <c16:uniqueId val="{00000000-E1FF-49FB-8E72-A1D7E8B6AB7D}"/>
            </c:ext>
          </c:extLst>
        </c:ser>
        <c:ser>
          <c:idx val="1"/>
          <c:order val="1"/>
          <c:tx>
            <c:strRef>
              <c:f>'Stock_Example 1'!$C$2</c:f>
              <c:strCache>
                <c:ptCount val="1"/>
                <c:pt idx="0">
                  <c:v>Low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1'!$C$3:$C$7</c:f>
              <c:numCache>
                <c:formatCode>General</c:formatCode>
                <c:ptCount val="5"/>
                <c:pt idx="0">
                  <c:v>23</c:v>
                </c:pt>
                <c:pt idx="1">
                  <c:v>22</c:v>
                </c:pt>
                <c:pt idx="2">
                  <c:v>20</c:v>
                </c:pt>
                <c:pt idx="3">
                  <c:v>25</c:v>
                </c:pt>
                <c:pt idx="4">
                  <c:v>21</c:v>
                </c:pt>
              </c:numCache>
            </c:numRef>
          </c:val>
          <c:smooth val="0"/>
          <c:extLst>
            <c:ext xmlns:c16="http://schemas.microsoft.com/office/drawing/2014/chart" uri="{C3380CC4-5D6E-409C-BE32-E72D297353CC}">
              <c16:uniqueId val="{00000001-E1FF-49FB-8E72-A1D7E8B6AB7D}"/>
            </c:ext>
          </c:extLst>
        </c:ser>
        <c:ser>
          <c:idx val="2"/>
          <c:order val="2"/>
          <c:tx>
            <c:strRef>
              <c:f>'Stock_Example 1'!$D$2</c:f>
              <c:strCache>
                <c:ptCount val="1"/>
                <c:pt idx="0">
                  <c:v>Average Temperature</c:v>
                </c:pt>
              </c:strCache>
            </c:strRef>
          </c:tx>
          <c:spPr>
            <a:ln w="19050" cap="rnd">
              <a:noFill/>
              <a:round/>
            </a:ln>
            <a:effectLst/>
          </c:spPr>
          <c:marker>
            <c:symbol val="dash"/>
            <c:size val="5"/>
            <c:spPr>
              <a:solidFill>
                <a:schemeClr val="accent3"/>
              </a:solidFill>
              <a:ln w="9525">
                <a:solidFill>
                  <a:schemeClr val="tx1"/>
                </a:solidFill>
              </a:ln>
              <a:effectLst/>
            </c:spPr>
          </c:marker>
          <c:cat>
            <c:numRef>
              <c:f>'Stock_Example 1'!$A$3:$A$7</c:f>
              <c:numCache>
                <c:formatCode>d\-mmm</c:formatCode>
                <c:ptCount val="5"/>
                <c:pt idx="0">
                  <c:v>44723</c:v>
                </c:pt>
                <c:pt idx="1">
                  <c:v>44724</c:v>
                </c:pt>
                <c:pt idx="2">
                  <c:v>44725</c:v>
                </c:pt>
                <c:pt idx="3">
                  <c:v>44726</c:v>
                </c:pt>
                <c:pt idx="4">
                  <c:v>44727</c:v>
                </c:pt>
              </c:numCache>
            </c:numRef>
          </c:cat>
          <c:val>
            <c:numRef>
              <c:f>'Stock_Example 1'!$D$3:$D$7</c:f>
              <c:numCache>
                <c:formatCode>General</c:formatCode>
                <c:ptCount val="5"/>
                <c:pt idx="0">
                  <c:v>33</c:v>
                </c:pt>
                <c:pt idx="1">
                  <c:v>35</c:v>
                </c:pt>
                <c:pt idx="2">
                  <c:v>31</c:v>
                </c:pt>
                <c:pt idx="3">
                  <c:v>34</c:v>
                </c:pt>
                <c:pt idx="4">
                  <c:v>35</c:v>
                </c:pt>
              </c:numCache>
            </c:numRef>
          </c:val>
          <c:smooth val="0"/>
          <c:extLst>
            <c:ext xmlns:c16="http://schemas.microsoft.com/office/drawing/2014/chart" uri="{C3380CC4-5D6E-409C-BE32-E72D297353CC}">
              <c16:uniqueId val="{00000002-E1FF-49FB-8E72-A1D7E8B6AB7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224836352"/>
        <c:axId val="227488672"/>
      </c:stockChart>
      <c:dateAx>
        <c:axId val="224836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88672"/>
        <c:crosses val="autoZero"/>
        <c:auto val="1"/>
        <c:lblOffset val="100"/>
        <c:baseTimeUnit val="days"/>
      </c:dateAx>
      <c:valAx>
        <c:axId val="227488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Daily Temperature in °C </a:t>
                </a:r>
                <a:endParaRPr lang="en-US"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36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Stock Chart With Volume- Stock Price Fluctuations </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'Stock_Example 2'!$B$2</c:f>
              <c:strCache>
                <c:ptCount val="1"/>
                <c:pt idx="0">
                  <c:v>Volume</c:v>
                </c:pt>
              </c:strCache>
            </c:strRef>
          </c:tx>
          <c:spPr>
            <a:solidFill>
              <a:schemeClr val="accent1"/>
            </a:solidFill>
            <a:ln w="19050">
              <a:noFill/>
            </a:ln>
            <a:effectLst/>
          </c:spPr>
          <c:invertIfNegative val="0"/>
          <c:cat>
            <c:numRef>
              <c:f>'Stock_Example 2'!$A$3:$A$7</c:f>
              <c:numCache>
                <c:formatCode>d\-mmm</c:formatCode>
                <c:ptCount val="5"/>
                <c:pt idx="0">
                  <c:v>44621</c:v>
                </c:pt>
                <c:pt idx="1">
                  <c:v>44622</c:v>
                </c:pt>
                <c:pt idx="2">
                  <c:v>44623</c:v>
                </c:pt>
                <c:pt idx="3">
                  <c:v>44624</c:v>
                </c:pt>
                <c:pt idx="4">
                  <c:v>44625</c:v>
                </c:pt>
              </c:numCache>
            </c:numRef>
          </c:cat>
          <c:val>
            <c:numRef>
              <c:f>'Stock_Example 2'!$B$3:$B$7</c:f>
              <c:numCache>
                <c:formatCode>General</c:formatCode>
                <c:ptCount val="5"/>
                <c:pt idx="0">
                  <c:v>5000</c:v>
                </c:pt>
                <c:pt idx="1">
                  <c:v>7000</c:v>
                </c:pt>
                <c:pt idx="2">
                  <c:v>5500</c:v>
                </c:pt>
                <c:pt idx="3">
                  <c:v>6000</c:v>
                </c:pt>
                <c:pt idx="4">
                  <c:v>5300</c:v>
                </c:pt>
              </c:numCache>
            </c:numRef>
          </c:val>
          <c:extLst>
            <c:ext xmlns:c16="http://schemas.microsoft.com/office/drawing/2014/chart" uri="{C3380CC4-5D6E-409C-BE32-E72D297353CC}">
              <c16:uniqueId val="{00000000-08BA-4BE5-9456-613C9D108278}"/>
            </c:ext>
          </c:extLst>
        </c:ser>
        <c:dLbls>
          <c:showLegendKey val="0"/>
          <c:showVal val="0"/>
          <c:showCatName val="0"/>
          <c:showSerName val="0"/>
          <c:showPercent val="0"/>
          <c:showBubbleSize val="0"/>
        </c:dLbls>
        <c:gapWidth val="150"/>
        <c:axId val="226347520"/>
        <c:axId val="228524144"/>
      </c:barChart>
      <c:stockChart>
        <c:ser>
          <c:idx val="1"/>
          <c:order val="1"/>
          <c:tx>
            <c:strRef>
              <c:f>'Stock_Example 2'!$C$2</c:f>
              <c:strCache>
                <c:ptCount val="1"/>
                <c:pt idx="0">
                  <c:v>Opening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2'!$C$3:$C$7</c:f>
              <c:numCache>
                <c:formatCode>"$"#,##0.00</c:formatCode>
                <c:ptCount val="5"/>
                <c:pt idx="0">
                  <c:v>31</c:v>
                </c:pt>
                <c:pt idx="1">
                  <c:v>25</c:v>
                </c:pt>
                <c:pt idx="2">
                  <c:v>24</c:v>
                </c:pt>
                <c:pt idx="3">
                  <c:v>27</c:v>
                </c:pt>
                <c:pt idx="4">
                  <c:v>23</c:v>
                </c:pt>
              </c:numCache>
            </c:numRef>
          </c:val>
          <c:smooth val="0"/>
          <c:extLst>
            <c:ext xmlns:c16="http://schemas.microsoft.com/office/drawing/2014/chart" uri="{C3380CC4-5D6E-409C-BE32-E72D297353CC}">
              <c16:uniqueId val="{00000001-08BA-4BE5-9456-613C9D108278}"/>
            </c:ext>
          </c:extLst>
        </c:ser>
        <c:ser>
          <c:idx val="2"/>
          <c:order val="2"/>
          <c:tx>
            <c:strRef>
              <c:f>'Stock_Example 2'!$D$2</c:f>
              <c:strCache>
                <c:ptCount val="1"/>
                <c:pt idx="0">
                  <c:v>High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2'!$D$3:$D$7</c:f>
              <c:numCache>
                <c:formatCode>"$"#,##0.00</c:formatCode>
                <c:ptCount val="5"/>
                <c:pt idx="0">
                  <c:v>35</c:v>
                </c:pt>
                <c:pt idx="1">
                  <c:v>30</c:v>
                </c:pt>
                <c:pt idx="2">
                  <c:v>29</c:v>
                </c:pt>
                <c:pt idx="3">
                  <c:v>33</c:v>
                </c:pt>
                <c:pt idx="4">
                  <c:v>25</c:v>
                </c:pt>
              </c:numCache>
            </c:numRef>
          </c:val>
          <c:smooth val="0"/>
          <c:extLst>
            <c:ext xmlns:c16="http://schemas.microsoft.com/office/drawing/2014/chart" uri="{C3380CC4-5D6E-409C-BE32-E72D297353CC}">
              <c16:uniqueId val="{00000002-08BA-4BE5-9456-613C9D108278}"/>
            </c:ext>
          </c:extLst>
        </c:ser>
        <c:ser>
          <c:idx val="3"/>
          <c:order val="3"/>
          <c:tx>
            <c:strRef>
              <c:f>'Stock_Example 2'!$E$2</c:f>
              <c:strCache>
                <c:ptCount val="1"/>
                <c:pt idx="0">
                  <c:v>Low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2'!$E$3:$E$7</c:f>
              <c:numCache>
                <c:formatCode>"$"#,##0.00</c:formatCode>
                <c:ptCount val="5"/>
                <c:pt idx="0">
                  <c:v>28</c:v>
                </c:pt>
                <c:pt idx="1">
                  <c:v>21</c:v>
                </c:pt>
                <c:pt idx="2">
                  <c:v>22</c:v>
                </c:pt>
                <c:pt idx="3">
                  <c:v>23</c:v>
                </c:pt>
                <c:pt idx="4">
                  <c:v>20</c:v>
                </c:pt>
              </c:numCache>
            </c:numRef>
          </c:val>
          <c:smooth val="0"/>
          <c:extLst>
            <c:ext xmlns:c16="http://schemas.microsoft.com/office/drawing/2014/chart" uri="{C3380CC4-5D6E-409C-BE32-E72D297353CC}">
              <c16:uniqueId val="{00000003-08BA-4BE5-9456-613C9D108278}"/>
            </c:ext>
          </c:extLst>
        </c:ser>
        <c:ser>
          <c:idx val="4"/>
          <c:order val="4"/>
          <c:tx>
            <c:strRef>
              <c:f>'Stock_Example 2'!$F$2</c:f>
              <c:strCache>
                <c:ptCount val="1"/>
                <c:pt idx="0">
                  <c:v>Closing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2'!$F$3:$F$7</c:f>
              <c:numCache>
                <c:formatCode>"$"#,##0.00</c:formatCode>
                <c:ptCount val="5"/>
                <c:pt idx="0">
                  <c:v>33</c:v>
                </c:pt>
                <c:pt idx="1">
                  <c:v>28</c:v>
                </c:pt>
                <c:pt idx="2">
                  <c:v>24</c:v>
                </c:pt>
                <c:pt idx="3">
                  <c:v>25</c:v>
                </c:pt>
                <c:pt idx="4">
                  <c:v>21</c:v>
                </c:pt>
              </c:numCache>
            </c:numRef>
          </c:val>
          <c:smooth val="0"/>
          <c:extLst>
            <c:ext xmlns:c16="http://schemas.microsoft.com/office/drawing/2014/chart" uri="{C3380CC4-5D6E-409C-BE32-E72D297353CC}">
              <c16:uniqueId val="{00000004-08BA-4BE5-9456-613C9D10827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26347920"/>
        <c:axId val="228524976"/>
      </c:stockChart>
      <c:dateAx>
        <c:axId val="22634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4144"/>
        <c:crosses val="autoZero"/>
        <c:auto val="1"/>
        <c:lblOffset val="100"/>
        <c:baseTimeUnit val="days"/>
      </c:dateAx>
      <c:valAx>
        <c:axId val="22852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520"/>
        <c:crosses val="autoZero"/>
        <c:crossBetween val="between"/>
      </c:valAx>
      <c:valAx>
        <c:axId val="2285249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920"/>
        <c:crosses val="max"/>
        <c:crossBetween val="between"/>
      </c:valAx>
      <c:dateAx>
        <c:axId val="226347920"/>
        <c:scaling>
          <c:orientation val="minMax"/>
        </c:scaling>
        <c:delete val="1"/>
        <c:axPos val="b"/>
        <c:numFmt formatCode="d\-mmm" sourceLinked="1"/>
        <c:majorTickMark val="out"/>
        <c:minorTickMark val="none"/>
        <c:tickLblPos val="nextTo"/>
        <c:crossAx val="22852497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Candlestick</a:t>
            </a:r>
            <a:r>
              <a:rPr lang="en-US" baseline="0"/>
              <a:t> Stock Chart- Stock Price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Stock_FAQ!$B$2</c:f>
              <c:strCache>
                <c:ptCount val="1"/>
                <c:pt idx="0">
                  <c:v>Volume</c:v>
                </c:pt>
              </c:strCache>
            </c:strRef>
          </c:tx>
          <c:spPr>
            <a:solidFill>
              <a:schemeClr val="accent1"/>
            </a:solidFill>
            <a:ln w="19050">
              <a:noFill/>
            </a:ln>
            <a:effectLst/>
          </c:spPr>
          <c:invertIfNegative val="0"/>
          <c:cat>
            <c:numRef>
              <c:f>Stock_FAQ!$A$3:$A$7</c:f>
              <c:numCache>
                <c:formatCode>d\-mmm</c:formatCode>
                <c:ptCount val="5"/>
                <c:pt idx="0">
                  <c:v>44763</c:v>
                </c:pt>
                <c:pt idx="1">
                  <c:v>44764</c:v>
                </c:pt>
                <c:pt idx="2">
                  <c:v>44765</c:v>
                </c:pt>
                <c:pt idx="3">
                  <c:v>44766</c:v>
                </c:pt>
                <c:pt idx="4">
                  <c:v>44767</c:v>
                </c:pt>
              </c:numCache>
            </c:numRef>
          </c:cat>
          <c:val>
            <c:numRef>
              <c:f>Stock_FAQ!$B$3:$B$7</c:f>
              <c:numCache>
                <c:formatCode>General</c:formatCode>
                <c:ptCount val="5"/>
                <c:pt idx="0">
                  <c:v>4500</c:v>
                </c:pt>
                <c:pt idx="1">
                  <c:v>4800</c:v>
                </c:pt>
                <c:pt idx="2">
                  <c:v>5000</c:v>
                </c:pt>
                <c:pt idx="3">
                  <c:v>5100</c:v>
                </c:pt>
                <c:pt idx="4">
                  <c:v>6000</c:v>
                </c:pt>
              </c:numCache>
            </c:numRef>
          </c:val>
          <c:extLst>
            <c:ext xmlns:c16="http://schemas.microsoft.com/office/drawing/2014/chart" uri="{C3380CC4-5D6E-409C-BE32-E72D297353CC}">
              <c16:uniqueId val="{00000000-F266-4B9D-A916-C7D7661F1698}"/>
            </c:ext>
          </c:extLst>
        </c:ser>
        <c:dLbls>
          <c:showLegendKey val="0"/>
          <c:showVal val="0"/>
          <c:showCatName val="0"/>
          <c:showSerName val="0"/>
          <c:showPercent val="0"/>
          <c:showBubbleSize val="0"/>
        </c:dLbls>
        <c:gapWidth val="150"/>
        <c:axId val="1428951295"/>
        <c:axId val="1430346479"/>
      </c:barChart>
      <c:stockChart>
        <c:ser>
          <c:idx val="1"/>
          <c:order val="1"/>
          <c:tx>
            <c:strRef>
              <c:f>Stock_FAQ!$C$2</c:f>
              <c:strCache>
                <c:ptCount val="1"/>
                <c:pt idx="0">
                  <c:v>High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Stock_FAQ!$C$3:$C$7</c:f>
              <c:numCache>
                <c:formatCode>"$"#,##0.00</c:formatCode>
                <c:ptCount val="5"/>
                <c:pt idx="0">
                  <c:v>24.21</c:v>
                </c:pt>
                <c:pt idx="1">
                  <c:v>25.46</c:v>
                </c:pt>
                <c:pt idx="2">
                  <c:v>25.99</c:v>
                </c:pt>
                <c:pt idx="3">
                  <c:v>29.42</c:v>
                </c:pt>
                <c:pt idx="4">
                  <c:v>30.23</c:v>
                </c:pt>
              </c:numCache>
            </c:numRef>
          </c:val>
          <c:smooth val="0"/>
          <c:extLst>
            <c:ext xmlns:c16="http://schemas.microsoft.com/office/drawing/2014/chart" uri="{C3380CC4-5D6E-409C-BE32-E72D297353CC}">
              <c16:uniqueId val="{00000001-F266-4B9D-A916-C7D7661F1698}"/>
            </c:ext>
          </c:extLst>
        </c:ser>
        <c:ser>
          <c:idx val="2"/>
          <c:order val="2"/>
          <c:tx>
            <c:strRef>
              <c:f>Stock_FAQ!$D$2</c:f>
              <c:strCache>
                <c:ptCount val="1"/>
                <c:pt idx="0">
                  <c:v>Low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Stock_FAQ!$D$3:$D$7</c:f>
              <c:numCache>
                <c:formatCode>"$"#,##0.00</c:formatCode>
                <c:ptCount val="5"/>
                <c:pt idx="0">
                  <c:v>22.66</c:v>
                </c:pt>
                <c:pt idx="1">
                  <c:v>22.49</c:v>
                </c:pt>
                <c:pt idx="2">
                  <c:v>23.56</c:v>
                </c:pt>
                <c:pt idx="3">
                  <c:v>24</c:v>
                </c:pt>
                <c:pt idx="4">
                  <c:v>26.97</c:v>
                </c:pt>
              </c:numCache>
            </c:numRef>
          </c:val>
          <c:smooth val="0"/>
          <c:extLst>
            <c:ext xmlns:c16="http://schemas.microsoft.com/office/drawing/2014/chart" uri="{C3380CC4-5D6E-409C-BE32-E72D297353CC}">
              <c16:uniqueId val="{00000002-F266-4B9D-A916-C7D7661F1698}"/>
            </c:ext>
          </c:extLst>
        </c:ser>
        <c:ser>
          <c:idx val="3"/>
          <c:order val="3"/>
          <c:tx>
            <c:strRef>
              <c:f>Stock_FAQ!$E$2</c:f>
              <c:strCache>
                <c:ptCount val="1"/>
                <c:pt idx="0">
                  <c:v>Closing Value</c:v>
                </c:pt>
              </c:strCache>
            </c:strRef>
          </c:tx>
          <c:spPr>
            <a:ln w="19050" cap="rnd">
              <a:noFill/>
              <a:round/>
            </a:ln>
            <a:effectLst/>
          </c:spPr>
          <c:marker>
            <c:symbol val="dash"/>
            <c:size val="5"/>
            <c:spPr>
              <a:solidFill>
                <a:schemeClr val="accent4"/>
              </a:solidFill>
              <a:ln w="9525">
                <a:solidFill>
                  <a:schemeClr val="tx1"/>
                </a:solidFill>
              </a:ln>
              <a:effectLst/>
            </c:spPr>
          </c:marker>
          <c:cat>
            <c:numRef>
              <c:f>Stock_FAQ!$A$3:$A$7</c:f>
              <c:numCache>
                <c:formatCode>d\-mmm</c:formatCode>
                <c:ptCount val="5"/>
                <c:pt idx="0">
                  <c:v>44763</c:v>
                </c:pt>
                <c:pt idx="1">
                  <c:v>44764</c:v>
                </c:pt>
                <c:pt idx="2">
                  <c:v>44765</c:v>
                </c:pt>
                <c:pt idx="3">
                  <c:v>44766</c:v>
                </c:pt>
                <c:pt idx="4">
                  <c:v>44767</c:v>
                </c:pt>
              </c:numCache>
            </c:numRef>
          </c:cat>
          <c:val>
            <c:numRef>
              <c:f>Stock_FAQ!$E$3:$E$7</c:f>
              <c:numCache>
                <c:formatCode>"$"#,##0.00</c:formatCode>
                <c:ptCount val="5"/>
                <c:pt idx="0">
                  <c:v>21.16</c:v>
                </c:pt>
                <c:pt idx="1">
                  <c:v>23.29</c:v>
                </c:pt>
                <c:pt idx="2">
                  <c:v>24.44</c:v>
                </c:pt>
                <c:pt idx="3">
                  <c:v>26.59</c:v>
                </c:pt>
                <c:pt idx="4">
                  <c:v>32</c:v>
                </c:pt>
              </c:numCache>
            </c:numRef>
          </c:val>
          <c:smooth val="0"/>
          <c:extLst>
            <c:ext xmlns:c16="http://schemas.microsoft.com/office/drawing/2014/chart" uri="{C3380CC4-5D6E-409C-BE32-E72D297353CC}">
              <c16:uniqueId val="{00000003-F266-4B9D-A916-C7D7661F1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428953295"/>
        <c:axId val="1430333999"/>
      </c:stockChart>
      <c:dateAx>
        <c:axId val="142895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46479"/>
        <c:crosses val="autoZero"/>
        <c:auto val="1"/>
        <c:lblOffset val="100"/>
        <c:baseTimeUnit val="days"/>
      </c:dateAx>
      <c:valAx>
        <c:axId val="1430346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1295"/>
        <c:crosses val="autoZero"/>
        <c:crossBetween val="between"/>
      </c:valAx>
      <c:valAx>
        <c:axId val="1430333999"/>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a:t>
                </a:r>
                <a:r>
                  <a:rPr lang="en-US" baseline="0"/>
                  <a:t> Price in million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3295"/>
        <c:crosses val="max"/>
        <c:crossBetween val="between"/>
      </c:valAx>
      <c:dateAx>
        <c:axId val="1428953295"/>
        <c:scaling>
          <c:orientation val="minMax"/>
        </c:scaling>
        <c:delete val="1"/>
        <c:axPos val="b"/>
        <c:numFmt formatCode="d\-mmm" sourceLinked="1"/>
        <c:majorTickMark val="out"/>
        <c:minorTickMark val="none"/>
        <c:tickLblPos val="nextTo"/>
        <c:crossAx val="1430333999"/>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Quarter-wise: Branch Offices 2021 </a:t>
            </a:r>
            <a:r>
              <a:rPr lang="en-US"/>
              <a:t>Quarterly Sales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Bar_Example'!$C$1</c:f>
              <c:strCache>
                <c:ptCount val="1"/>
                <c:pt idx="0">
                  <c:v>2021 Quarterly Sales in USD</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F26-49D9-9A69-98AA32A2348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F26-49D9-9A69-98AA32A2348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F26-49D9-9A69-98AA32A23485}"/>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F26-49D9-9A69-98AA32A23485}"/>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F26-49D9-9A69-98AA32A23485}"/>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F26-49D9-9A69-98AA32A23485}"/>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F26-49D9-9A69-98AA32A23485}"/>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F26-49D9-9A69-98AA32A23485}"/>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F26-49D9-9A69-98AA32A23485}"/>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F26-49D9-9A69-98AA32A23485}"/>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F26-49D9-9A69-98AA32A23485}"/>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F26-49D9-9A69-98AA32A23485}"/>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F26-49D9-9A69-98AA32A23485}"/>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F26-49D9-9A69-98AA32A23485}"/>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F26-49D9-9A69-98AA32A23485}"/>
              </c:ext>
            </c:extLst>
          </c:dPt>
          <c:cat>
            <c:multiLvlStrRef>
              <c:f>'Grouped Bar_Example'!$A$2:$B$16</c:f>
              <c:multiLvlStrCache>
                <c:ptCount val="15"/>
                <c:lvl>
                  <c:pt idx="0">
                    <c:v>Atlanta</c:v>
                  </c:pt>
                  <c:pt idx="1">
                    <c:v>Chicago</c:v>
                  </c:pt>
                  <c:pt idx="2">
                    <c:v>Houston</c:v>
                  </c:pt>
                  <c:pt idx="4">
                    <c:v>Atlanta</c:v>
                  </c:pt>
                  <c:pt idx="5">
                    <c:v>Chicago</c:v>
                  </c:pt>
                  <c:pt idx="6">
                    <c:v>Houston</c:v>
                  </c:pt>
                  <c:pt idx="8">
                    <c:v>Atlanta</c:v>
                  </c:pt>
                  <c:pt idx="9">
                    <c:v>Chicago</c:v>
                  </c:pt>
                  <c:pt idx="10">
                    <c:v>Houston</c:v>
                  </c:pt>
                  <c:pt idx="12">
                    <c:v>Atlanta</c:v>
                  </c:pt>
                  <c:pt idx="13">
                    <c:v>Chicago</c:v>
                  </c:pt>
                  <c:pt idx="14">
                    <c:v>Houston</c:v>
                  </c:pt>
                </c:lvl>
                <c:lvl>
                  <c:pt idx="0">
                    <c:v>Q1</c:v>
                  </c:pt>
                  <c:pt idx="4">
                    <c:v>Q2</c:v>
                  </c:pt>
                  <c:pt idx="8">
                    <c:v>Q3</c:v>
                  </c:pt>
                  <c:pt idx="12">
                    <c:v>Q4</c:v>
                  </c:pt>
                </c:lvl>
              </c:multiLvlStrCache>
            </c:multiLvlStrRef>
          </c:cat>
          <c:val>
            <c:numRef>
              <c:f>'Grouped Bar_Example'!$C$2:$C$16</c:f>
              <c:numCache>
                <c:formatCode>"$"#,##0.00</c:formatCode>
                <c:ptCount val="15"/>
                <c:pt idx="0">
                  <c:v>35000</c:v>
                </c:pt>
                <c:pt idx="1">
                  <c:v>40000</c:v>
                </c:pt>
                <c:pt idx="2">
                  <c:v>51000</c:v>
                </c:pt>
                <c:pt idx="4">
                  <c:v>45000</c:v>
                </c:pt>
                <c:pt idx="5">
                  <c:v>53000</c:v>
                </c:pt>
                <c:pt idx="6">
                  <c:v>60000</c:v>
                </c:pt>
                <c:pt idx="8">
                  <c:v>60000</c:v>
                </c:pt>
                <c:pt idx="9">
                  <c:v>68000</c:v>
                </c:pt>
                <c:pt idx="10">
                  <c:v>51000</c:v>
                </c:pt>
                <c:pt idx="12">
                  <c:v>35000</c:v>
                </c:pt>
                <c:pt idx="13">
                  <c:v>43000</c:v>
                </c:pt>
                <c:pt idx="14">
                  <c:v>53000</c:v>
                </c:pt>
              </c:numCache>
            </c:numRef>
          </c:val>
          <c:extLst>
            <c:ext xmlns:c16="http://schemas.microsoft.com/office/drawing/2014/chart" uri="{C3380CC4-5D6E-409C-BE32-E72D297353CC}">
              <c16:uniqueId val="{00000000-7032-4B6B-8805-20CCF15D1688}"/>
            </c:ext>
          </c:extLst>
        </c:ser>
        <c:dLbls>
          <c:showLegendKey val="0"/>
          <c:showVal val="0"/>
          <c:showCatName val="0"/>
          <c:showSerName val="0"/>
          <c:showPercent val="0"/>
          <c:showBubbleSize val="0"/>
        </c:dLbls>
        <c:gapWidth val="0"/>
        <c:axId val="1178724864"/>
        <c:axId val="1252172160"/>
      </c:barChart>
      <c:catAx>
        <c:axId val="1178724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72160"/>
        <c:crosses val="autoZero"/>
        <c:auto val="1"/>
        <c:lblAlgn val="ctr"/>
        <c:lblOffset val="100"/>
        <c:noMultiLvlLbl val="0"/>
      </c:catAx>
      <c:valAx>
        <c:axId val="1252172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Quarterly</a:t>
                </a:r>
                <a:r>
                  <a:rPr lang="en-US" baseline="0"/>
                  <a:t> Sales in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72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2E6-479D-82BE-0270E2A4FD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2E6-479D-82BE-0270E2A4FD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2E6-479D-82BE-0270E2A4FD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2E6-479D-82BE-0270E2A4FD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2E6-479D-82BE-0270E2A4FDD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2E6-479D-82BE-0270E2A4FDD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2E6-479D-82BE-0270E2A4FDD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2E6-479D-82BE-0270E2A4FDD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2E6-479D-82BE-0270E2A4FDD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2E6-479D-82BE-0270E2A4FDD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2E6-479D-82BE-0270E2A4FDD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2E6-479D-82BE-0270E2A4FDD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2E6-479D-82BE-0270E2A4FDD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2E6-479D-82BE-0270E2A4FDD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2E6-479D-82BE-0270E2A4FDD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B2E6-479D-82BE-0270E2A4FDD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B2E6-479D-82BE-0270E2A4FDDE}"/>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B2E6-479D-82BE-0270E2A4FDDE}"/>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B2E6-479D-82BE-0270E2A4FDDE}"/>
              </c:ext>
            </c:extLst>
          </c:dPt>
          <c:cat>
            <c:multiLvlStrRef>
              <c:f>'Grouped Bar_Use'!$A$2:$B$20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F492-4426-9B36-C578166ECB34}"/>
            </c:ext>
          </c:extLst>
        </c:ser>
        <c:dLbls>
          <c:showLegendKey val="0"/>
          <c:showVal val="0"/>
          <c:showCatName val="0"/>
          <c:showSerName val="0"/>
          <c:showPercent val="0"/>
          <c:showBubbleSize val="0"/>
        </c:dLbls>
        <c:gapWidth val="0"/>
        <c:axId val="400198607"/>
        <c:axId val="312658735"/>
      </c:barChart>
      <c:catAx>
        <c:axId val="400198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8735"/>
        <c:crosses val="autoZero"/>
        <c:auto val="1"/>
        <c:lblAlgn val="ctr"/>
        <c:lblOffset val="100"/>
        <c:noMultiLvlLbl val="0"/>
      </c:catAx>
      <c:valAx>
        <c:axId val="31265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9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Bar_Use1'!$C$1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1FE-47A2-A905-A933310E19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1FE-47A2-A905-A933310E19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1FE-47A2-A905-A933310E19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1FE-47A2-A905-A933310E19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1FE-47A2-A905-A933310E19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1FE-47A2-A905-A933310E19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1FE-47A2-A905-A933310E191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1FE-47A2-A905-A933310E191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1FE-47A2-A905-A933310E191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1FE-47A2-A905-A933310E191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1FE-47A2-A905-A933310E191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1FE-47A2-A905-A933310E191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1FE-47A2-A905-A933310E191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1FE-47A2-A905-A933310E191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1FE-47A2-A905-A933310E191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1FE-47A2-A905-A933310E191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1FE-47A2-A905-A933310E191C}"/>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1FE-47A2-A905-A933310E191C}"/>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1FE-47A2-A905-A933310E191C}"/>
              </c:ext>
            </c:extLst>
          </c:dPt>
          <c:cat>
            <c:multiLvlStrRef>
              <c:f>'Grouped Bar_Use1'!$A$2:$B$20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Bar_Use1'!$C$2:$C$20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3F2F-4F88-B3F5-C6AB2C0909FC}"/>
            </c:ext>
          </c:extLst>
        </c:ser>
        <c:dLbls>
          <c:showLegendKey val="0"/>
          <c:showVal val="0"/>
          <c:showCatName val="0"/>
          <c:showSerName val="0"/>
          <c:showPercent val="0"/>
          <c:showBubbleSize val="0"/>
        </c:dLbls>
        <c:gapWidth val="0"/>
        <c:axId val="313494063"/>
        <c:axId val="312625039"/>
      </c:barChart>
      <c:catAx>
        <c:axId val="313494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25039"/>
        <c:crosses val="autoZero"/>
        <c:auto val="1"/>
        <c:lblAlgn val="ctr"/>
        <c:lblOffset val="100"/>
        <c:noMultiLvlLbl val="0"/>
      </c:catAx>
      <c:valAx>
        <c:axId val="3126250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State Carton</a:t>
            </a:r>
            <a:r>
              <a:rPr lang="en-US" baseline="0"/>
              <a:t> Delivery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1'!$C$1</c:f>
              <c:strCache>
                <c:ptCount val="1"/>
                <c:pt idx="0">
                  <c:v>Number Of Cartons Delivered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5C1-4EC5-846D-9F0396AE30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5C1-4EC5-846D-9F0396AE30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5C1-4EC5-846D-9F0396AE30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5C1-4EC5-846D-9F0396AE30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5C1-4EC5-846D-9F0396AE30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5C1-4EC5-846D-9F0396AE30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5C1-4EC5-846D-9F0396AE30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5C1-4EC5-846D-9F0396AE30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5C1-4EC5-846D-9F0396AE30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5C1-4EC5-846D-9F0396AE30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5C1-4EC5-846D-9F0396AE30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5C1-4EC5-846D-9F0396AE30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5C1-4EC5-846D-9F0396AE309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75C1-4EC5-846D-9F0396AE309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75C1-4EC5-846D-9F0396AE309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75C1-4EC5-846D-9F0396AE309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75C1-4EC5-846D-9F0396AE309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75C1-4EC5-846D-9F0396AE309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75C1-4EC5-846D-9F0396AE309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75C1-4EC5-846D-9F0396AE309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75C1-4EC5-846D-9F0396AE309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75C1-4EC5-846D-9F0396AE309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75C1-4EC5-846D-9F0396AE3096}"/>
              </c:ext>
            </c:extLst>
          </c:dPt>
          <c:cat>
            <c:multiLvlStrRef>
              <c:f>'Grouped Bar_Example 1'!$A$2:$B$24</c:f>
              <c:multiLvlStrCache>
                <c:ptCount val="23"/>
                <c:lvl>
                  <c:pt idx="0">
                    <c:v>Florida</c:v>
                  </c:pt>
                  <c:pt idx="1">
                    <c:v>Georgia</c:v>
                  </c:pt>
                  <c:pt idx="2">
                    <c:v>Texas</c:v>
                  </c:pt>
                  <c:pt idx="4">
                    <c:v>Florida</c:v>
                  </c:pt>
                  <c:pt idx="5">
                    <c:v>Georgia</c:v>
                  </c:pt>
                  <c:pt idx="6">
                    <c:v>Texas</c:v>
                  </c:pt>
                  <c:pt idx="8">
                    <c:v>Florida</c:v>
                  </c:pt>
                  <c:pt idx="9">
                    <c:v>Georgia</c:v>
                  </c:pt>
                  <c:pt idx="10">
                    <c:v>Texas</c:v>
                  </c:pt>
                  <c:pt idx="12">
                    <c:v>Florida</c:v>
                  </c:pt>
                  <c:pt idx="13">
                    <c:v>Georgia</c:v>
                  </c:pt>
                  <c:pt idx="14">
                    <c:v>Texas</c:v>
                  </c:pt>
                  <c:pt idx="16">
                    <c:v>Florida</c:v>
                  </c:pt>
                  <c:pt idx="17">
                    <c:v>Georgia</c:v>
                  </c:pt>
                  <c:pt idx="18">
                    <c:v>Texas</c:v>
                  </c:pt>
                  <c:pt idx="20">
                    <c:v>Florida</c:v>
                  </c:pt>
                  <c:pt idx="21">
                    <c:v>Georgia</c:v>
                  </c:pt>
                  <c:pt idx="22">
                    <c:v>Texas</c:v>
                  </c:pt>
                </c:lvl>
                <c:lvl>
                  <c:pt idx="0">
                    <c:v>Jan</c:v>
                  </c:pt>
                  <c:pt idx="4">
                    <c:v>Feb</c:v>
                  </c:pt>
                  <c:pt idx="8">
                    <c:v>Mar</c:v>
                  </c:pt>
                  <c:pt idx="12">
                    <c:v>Apr</c:v>
                  </c:pt>
                  <c:pt idx="16">
                    <c:v>May</c:v>
                  </c:pt>
                  <c:pt idx="20">
                    <c:v>Jun</c:v>
                  </c:pt>
                </c:lvl>
              </c:multiLvlStrCache>
            </c:multiLvlStrRef>
          </c:cat>
          <c:val>
            <c:numRef>
              <c:f>'Grouped Bar_Example 1'!$C$2:$C$24</c:f>
              <c:numCache>
                <c:formatCode>General</c:formatCode>
                <c:ptCount val="23"/>
                <c:pt idx="0">
                  <c:v>2800</c:v>
                </c:pt>
                <c:pt idx="1">
                  <c:v>500</c:v>
                </c:pt>
                <c:pt idx="2">
                  <c:v>3000</c:v>
                </c:pt>
                <c:pt idx="4">
                  <c:v>2500</c:v>
                </c:pt>
                <c:pt idx="5">
                  <c:v>1000</c:v>
                </c:pt>
                <c:pt idx="6">
                  <c:v>4100</c:v>
                </c:pt>
                <c:pt idx="8">
                  <c:v>1900</c:v>
                </c:pt>
                <c:pt idx="9">
                  <c:v>1300</c:v>
                </c:pt>
                <c:pt idx="10">
                  <c:v>4200</c:v>
                </c:pt>
                <c:pt idx="12">
                  <c:v>2000</c:v>
                </c:pt>
                <c:pt idx="13">
                  <c:v>1200</c:v>
                </c:pt>
                <c:pt idx="14">
                  <c:v>3300</c:v>
                </c:pt>
                <c:pt idx="16">
                  <c:v>2400</c:v>
                </c:pt>
                <c:pt idx="17">
                  <c:v>1900</c:v>
                </c:pt>
                <c:pt idx="18">
                  <c:v>3900</c:v>
                </c:pt>
                <c:pt idx="20">
                  <c:v>2900</c:v>
                </c:pt>
                <c:pt idx="21">
                  <c:v>1500</c:v>
                </c:pt>
                <c:pt idx="22">
                  <c:v>2500</c:v>
                </c:pt>
              </c:numCache>
            </c:numRef>
          </c:val>
          <c:extLst>
            <c:ext xmlns:c16="http://schemas.microsoft.com/office/drawing/2014/chart" uri="{C3380CC4-5D6E-409C-BE32-E72D297353CC}">
              <c16:uniqueId val="{00000000-680E-449C-A370-DB949EB27BC3}"/>
            </c:ext>
          </c:extLst>
        </c:ser>
        <c:dLbls>
          <c:showLegendKey val="0"/>
          <c:showVal val="0"/>
          <c:showCatName val="0"/>
          <c:showSerName val="0"/>
          <c:showPercent val="0"/>
          <c:showBubbleSize val="0"/>
        </c:dLbls>
        <c:gapWidth val="0"/>
        <c:axId val="309910767"/>
        <c:axId val="312651663"/>
      </c:barChart>
      <c:catAx>
        <c:axId val="30991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663"/>
        <c:crosses val="autoZero"/>
        <c:auto val="1"/>
        <c:lblAlgn val="ctr"/>
        <c:lblOffset val="100"/>
        <c:noMultiLvlLbl val="0"/>
      </c:catAx>
      <c:valAx>
        <c:axId val="312651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Cartons Delivered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Term-wise: Student Marks</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2'!$C$1</c:f>
              <c:strCache>
                <c:ptCount val="1"/>
                <c:pt idx="0">
                  <c:v>Marks (Out Of 100)</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228-4883-A878-4707262F1CC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228-4883-A878-4707262F1CC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228-4883-A878-4707262F1CC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228-4883-A878-4707262F1CC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228-4883-A878-4707262F1CC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228-4883-A878-4707262F1CC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28-4883-A878-4707262F1CC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228-4883-A878-4707262F1CC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228-4883-A878-4707262F1CC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228-4883-A878-4707262F1CC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228-4883-A878-4707262F1CC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228-4883-A878-4707262F1CC2}"/>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228-4883-A878-4707262F1CC2}"/>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228-4883-A878-4707262F1CC2}"/>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228-4883-A878-4707262F1CC2}"/>
              </c:ext>
            </c:extLst>
          </c:dPt>
          <c:cat>
            <c:multiLvlStrRef>
              <c:f>'Grouped Bar_Example 2'!$A$2:$B$16</c:f>
              <c:multiLvlStrCache>
                <c:ptCount val="15"/>
                <c:lvl>
                  <c:pt idx="0">
                    <c:v>Allen</c:v>
                  </c:pt>
                  <c:pt idx="1">
                    <c:v>James</c:v>
                  </c:pt>
                  <c:pt idx="2">
                    <c:v>John</c:v>
                  </c:pt>
                  <c:pt idx="4">
                    <c:v>Allen</c:v>
                  </c:pt>
                  <c:pt idx="5">
                    <c:v>James</c:v>
                  </c:pt>
                  <c:pt idx="6">
                    <c:v>John</c:v>
                  </c:pt>
                  <c:pt idx="8">
                    <c:v>Allen</c:v>
                  </c:pt>
                  <c:pt idx="9">
                    <c:v>James</c:v>
                  </c:pt>
                  <c:pt idx="10">
                    <c:v>John</c:v>
                  </c:pt>
                  <c:pt idx="12">
                    <c:v>Allen</c:v>
                  </c:pt>
                  <c:pt idx="13">
                    <c:v>James</c:v>
                  </c:pt>
                  <c:pt idx="14">
                    <c:v>John</c:v>
                  </c:pt>
                </c:lvl>
                <c:lvl>
                  <c:pt idx="0">
                    <c:v>Term 1</c:v>
                  </c:pt>
                  <c:pt idx="4">
                    <c:v>Term 2</c:v>
                  </c:pt>
                  <c:pt idx="8">
                    <c:v>Term 3</c:v>
                  </c:pt>
                  <c:pt idx="12">
                    <c:v>Term 4</c:v>
                  </c:pt>
                </c:lvl>
              </c:multiLvlStrCache>
            </c:multiLvlStrRef>
          </c:cat>
          <c:val>
            <c:numRef>
              <c:f>'Grouped Bar_Example 2'!$C$2:$C$16</c:f>
              <c:numCache>
                <c:formatCode>General</c:formatCode>
                <c:ptCount val="15"/>
                <c:pt idx="0">
                  <c:v>89</c:v>
                </c:pt>
                <c:pt idx="1">
                  <c:v>87</c:v>
                </c:pt>
                <c:pt idx="2">
                  <c:v>90</c:v>
                </c:pt>
                <c:pt idx="4">
                  <c:v>95</c:v>
                </c:pt>
                <c:pt idx="5">
                  <c:v>96</c:v>
                </c:pt>
                <c:pt idx="6">
                  <c:v>94</c:v>
                </c:pt>
                <c:pt idx="8">
                  <c:v>75</c:v>
                </c:pt>
                <c:pt idx="9">
                  <c:v>99</c:v>
                </c:pt>
                <c:pt idx="10">
                  <c:v>85</c:v>
                </c:pt>
                <c:pt idx="12">
                  <c:v>100</c:v>
                </c:pt>
                <c:pt idx="13">
                  <c:v>97</c:v>
                </c:pt>
                <c:pt idx="14">
                  <c:v>84</c:v>
                </c:pt>
              </c:numCache>
            </c:numRef>
          </c:val>
          <c:extLst>
            <c:ext xmlns:c16="http://schemas.microsoft.com/office/drawing/2014/chart" uri="{C3380CC4-5D6E-409C-BE32-E72D297353CC}">
              <c16:uniqueId val="{00000000-0254-4860-BE5B-EEE26A44091F}"/>
            </c:ext>
          </c:extLst>
        </c:ser>
        <c:dLbls>
          <c:showLegendKey val="0"/>
          <c:showVal val="0"/>
          <c:showCatName val="0"/>
          <c:showSerName val="0"/>
          <c:showPercent val="0"/>
          <c:showBubbleSize val="0"/>
        </c:dLbls>
        <c:gapWidth val="0"/>
        <c:axId val="451074895"/>
        <c:axId val="228835679"/>
      </c:barChart>
      <c:catAx>
        <c:axId val="451074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35679"/>
        <c:crosses val="autoZero"/>
        <c:auto val="1"/>
        <c:lblAlgn val="ctr"/>
        <c:lblOffset val="100"/>
        <c:noMultiLvlLbl val="0"/>
      </c:catAx>
      <c:valAx>
        <c:axId val="22883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Marks (Out Of 100)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Warehouse Inventory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Bar_FAQ'!$C$1</c:f>
              <c:strCache>
                <c:ptCount val="1"/>
                <c:pt idx="0">
                  <c:v>Inventory (in units)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FA-48ED-AFCE-42710F0250E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FA-48ED-AFCE-42710F0250E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FA-48ED-AFCE-42710F0250E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FA-48ED-AFCE-42710F0250E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FA-48ED-AFCE-42710F0250E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FA-48ED-AFCE-42710F0250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FA-48ED-AFCE-42710F0250E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FA-48ED-AFCE-42710F0250E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2FA-48ED-AFCE-42710F0250E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2FA-48ED-AFCE-42710F0250E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2FA-48ED-AFCE-42710F0250EB}"/>
              </c:ext>
            </c:extLst>
          </c:dPt>
          <c:cat>
            <c:multiLvlStrRef>
              <c:f>'Grouped Bar_FAQ'!$A$2:$B$12</c:f>
              <c:multiLvlStrCache>
                <c:ptCount val="11"/>
                <c:lvl>
                  <c:pt idx="0">
                    <c:v>WH1</c:v>
                  </c:pt>
                  <c:pt idx="1">
                    <c:v>WH2</c:v>
                  </c:pt>
                  <c:pt idx="2">
                    <c:v>WH3</c:v>
                  </c:pt>
                  <c:pt idx="4">
                    <c:v>WH1</c:v>
                  </c:pt>
                  <c:pt idx="5">
                    <c:v>WH2</c:v>
                  </c:pt>
                  <c:pt idx="6">
                    <c:v>WH3</c:v>
                  </c:pt>
                  <c:pt idx="8">
                    <c:v>WH1</c:v>
                  </c:pt>
                  <c:pt idx="9">
                    <c:v>WH2</c:v>
                  </c:pt>
                  <c:pt idx="10">
                    <c:v>WH3</c:v>
                  </c:pt>
                </c:lvl>
                <c:lvl>
                  <c:pt idx="0">
                    <c:v>April</c:v>
                  </c:pt>
                  <c:pt idx="4">
                    <c:v>May</c:v>
                  </c:pt>
                  <c:pt idx="8">
                    <c:v>June</c:v>
                  </c:pt>
                </c:lvl>
              </c:multiLvlStrCache>
            </c:multiLvlStrRef>
          </c:cat>
          <c:val>
            <c:numRef>
              <c:f>'Grouped Bar_FAQ'!$C$2:$C$12</c:f>
              <c:numCache>
                <c:formatCode>General</c:formatCode>
                <c:ptCount val="11"/>
                <c:pt idx="0">
                  <c:v>5000</c:v>
                </c:pt>
                <c:pt idx="1">
                  <c:v>5500</c:v>
                </c:pt>
                <c:pt idx="2">
                  <c:v>4300</c:v>
                </c:pt>
                <c:pt idx="4">
                  <c:v>1900</c:v>
                </c:pt>
                <c:pt idx="5">
                  <c:v>2300</c:v>
                </c:pt>
                <c:pt idx="6">
                  <c:v>2900</c:v>
                </c:pt>
                <c:pt idx="8">
                  <c:v>1780</c:v>
                </c:pt>
                <c:pt idx="9">
                  <c:v>1470</c:v>
                </c:pt>
                <c:pt idx="10">
                  <c:v>1320</c:v>
                </c:pt>
              </c:numCache>
            </c:numRef>
          </c:val>
          <c:extLst>
            <c:ext xmlns:c16="http://schemas.microsoft.com/office/drawing/2014/chart" uri="{C3380CC4-5D6E-409C-BE32-E72D297353CC}">
              <c16:uniqueId val="{00000000-E365-47B1-841F-72CD3422EF40}"/>
            </c:ext>
          </c:extLst>
        </c:ser>
        <c:dLbls>
          <c:showLegendKey val="0"/>
          <c:showVal val="0"/>
          <c:showCatName val="0"/>
          <c:showSerName val="0"/>
          <c:showPercent val="0"/>
          <c:showBubbleSize val="0"/>
        </c:dLbls>
        <c:gapWidth val="0"/>
        <c:axId val="601677440"/>
        <c:axId val="708883120"/>
      </c:barChart>
      <c:catAx>
        <c:axId val="601677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883120"/>
        <c:crosses val="autoZero"/>
        <c:auto val="1"/>
        <c:lblAlgn val="ctr"/>
        <c:lblOffset val="100"/>
        <c:noMultiLvlLbl val="0"/>
      </c:catAx>
      <c:valAx>
        <c:axId val="708883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Inventory in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'Timeline Chart_Example'!$B$1</c:f>
              <c:strCache>
                <c:ptCount val="1"/>
                <c:pt idx="0">
                  <c:v>Project Milestone</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9525" cap="flat" cmpd="sng" algn="ctr">
                <a:solidFill>
                  <a:schemeClr val="tx1">
                    <a:lumMod val="65000"/>
                    <a:lumOff val="35000"/>
                  </a:schemeClr>
                </a:solidFill>
                <a:round/>
              </a:ln>
              <a:effectLst/>
            </c:spPr>
          </c:errBars>
          <c:cat>
            <c:strRef>
              <c:f>'Timeline Chart_Example'!$B$2:$B$9</c:f>
              <c:strCache>
                <c:ptCount val="8"/>
                <c:pt idx="0">
                  <c:v>Project Initiation Call</c:v>
                </c:pt>
                <c:pt idx="1">
                  <c:v>Data Collection</c:v>
                </c:pt>
                <c:pt idx="2">
                  <c:v>Phase 1 Implementation</c:v>
                </c:pt>
                <c:pt idx="3">
                  <c:v>Phase 1 Outcome Handover</c:v>
                </c:pt>
                <c:pt idx="4">
                  <c:v>Phase 2 Implementation</c:v>
                </c:pt>
                <c:pt idx="5">
                  <c:v>Phase 2 Outcome Handover</c:v>
                </c:pt>
                <c:pt idx="6">
                  <c:v>Project Conclusion</c:v>
                </c:pt>
                <c:pt idx="7">
                  <c:v>Project Closure</c:v>
                </c:pt>
              </c:strCache>
            </c:strRef>
          </c:cat>
          <c:val>
            <c:numRef>
              <c:f>'Timeline Chart_Example'!$C$2:$C$9</c:f>
              <c:numCache>
                <c:formatCode>General</c:formatCode>
                <c:ptCount val="8"/>
                <c:pt idx="0">
                  <c:v>10</c:v>
                </c:pt>
                <c:pt idx="1">
                  <c:v>-10</c:v>
                </c:pt>
                <c:pt idx="2">
                  <c:v>10</c:v>
                </c:pt>
                <c:pt idx="3">
                  <c:v>-10</c:v>
                </c:pt>
                <c:pt idx="4">
                  <c:v>10</c:v>
                </c:pt>
                <c:pt idx="5">
                  <c:v>-10</c:v>
                </c:pt>
                <c:pt idx="6">
                  <c:v>10</c:v>
                </c:pt>
                <c:pt idx="7">
                  <c:v>-10</c:v>
                </c:pt>
              </c:numCache>
            </c:numRef>
          </c:val>
          <c:extLst>
            <c:ext xmlns:c16="http://schemas.microsoft.com/office/drawing/2014/chart" uri="{C3380CC4-5D6E-409C-BE32-E72D297353CC}">
              <c16:uniqueId val="{00000002-BB12-4C91-9010-C56DD5263418}"/>
            </c:ext>
          </c:extLst>
        </c:ser>
        <c:dLbls>
          <c:showLegendKey val="0"/>
          <c:showVal val="0"/>
          <c:showCatName val="0"/>
          <c:showSerName val="0"/>
          <c:showPercent val="0"/>
          <c:showBubbleSize val="0"/>
        </c:dLbls>
        <c:gapWidth val="219"/>
        <c:axId val="1909972848"/>
        <c:axId val="1836711072"/>
      </c:barChart>
      <c:lineChart>
        <c:grouping val="standard"/>
        <c:varyColors val="0"/>
        <c:ser>
          <c:idx val="0"/>
          <c:order val="0"/>
          <c:tx>
            <c:strRef>
              <c:f>'Timeline Chart_Example'!$A$1</c:f>
              <c:strCache>
                <c:ptCount val="1"/>
                <c:pt idx="0">
                  <c:v>Month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'Timeline Chart_Example'!$A$2:$A$9</c:f>
              <c:strCache>
                <c:ptCount val="8"/>
                <c:pt idx="0">
                  <c:v>Jan</c:v>
                </c:pt>
                <c:pt idx="1">
                  <c:v>Feb</c:v>
                </c:pt>
                <c:pt idx="2">
                  <c:v>Mar</c:v>
                </c:pt>
                <c:pt idx="3">
                  <c:v>Apr</c:v>
                </c:pt>
                <c:pt idx="4">
                  <c:v>May</c:v>
                </c:pt>
                <c:pt idx="5">
                  <c:v>Jun</c:v>
                </c:pt>
                <c:pt idx="6">
                  <c:v>Jul</c:v>
                </c:pt>
                <c:pt idx="7">
                  <c:v>Aug</c:v>
                </c:pt>
              </c:strCache>
            </c:strRef>
          </c:cat>
          <c:val>
            <c:numRef>
              <c:f>'Timeline Chart_Example'!$B$2:$B$9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BB12-4C91-9010-C56DD5263418}"/>
            </c:ext>
          </c:extLst>
        </c:ser>
        <c:dLbls>
          <c:showLegendKey val="0"/>
          <c:showVal val="0"/>
          <c:showCatName val="0"/>
          <c:showSerName val="0"/>
          <c:showPercent val="0"/>
          <c:showBubbleSize val="0"/>
        </c:dLbls>
        <c:marker val="1"/>
        <c:smooth val="0"/>
        <c:axId val="1909938848"/>
        <c:axId val="1836723552"/>
      </c:lineChart>
      <c:catAx>
        <c:axId val="19099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3552"/>
        <c:crosses val="autoZero"/>
        <c:auto val="1"/>
        <c:lblAlgn val="ctr"/>
        <c:lblOffset val="100"/>
        <c:noMultiLvlLbl val="0"/>
      </c:catAx>
      <c:valAx>
        <c:axId val="1836723552"/>
        <c:scaling>
          <c:orientation val="minMax"/>
          <c:max val="6"/>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38848"/>
        <c:crosses val="autoZero"/>
        <c:crossBetween val="between"/>
      </c:valAx>
      <c:valAx>
        <c:axId val="18367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72848"/>
        <c:crosses val="max"/>
        <c:crossBetween val="between"/>
      </c:valAx>
      <c:catAx>
        <c:axId val="1909972848"/>
        <c:scaling>
          <c:orientation val="minMax"/>
        </c:scaling>
        <c:delete val="1"/>
        <c:axPos val="b"/>
        <c:numFmt formatCode="General" sourceLinked="1"/>
        <c:majorTickMark val="out"/>
        <c:minorTickMark val="none"/>
        <c:tickLblPos val="nextTo"/>
        <c:crossAx val="183671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Helper</c:v>
          </c:tx>
          <c:spPr>
            <a:ln w="28575" cap="rnd">
              <a:noFill/>
              <a:round/>
            </a:ln>
            <a:effectLst/>
          </c:spPr>
          <c:marker>
            <c:symbol val="none"/>
          </c:marker>
          <c:dLbls>
            <c:dLbl>
              <c:idx val="0"/>
              <c:tx>
                <c:rich>
                  <a:bodyPr/>
                  <a:lstStyle/>
                  <a:p>
                    <a:fld id="{F8D36AAF-E73D-486E-97D2-F2003F6B58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AE-4AD1-9B9F-0DF61FF07CCE}"/>
                </c:ext>
              </c:extLst>
            </c:dLbl>
            <c:dLbl>
              <c:idx val="1"/>
              <c:tx>
                <c:rich>
                  <a:bodyPr/>
                  <a:lstStyle/>
                  <a:p>
                    <a:fld id="{A956326D-17F7-40A5-98A1-9BC0F8455E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AE-4AD1-9B9F-0DF61FF07CCE}"/>
                </c:ext>
              </c:extLst>
            </c:dLbl>
            <c:dLbl>
              <c:idx val="2"/>
              <c:tx>
                <c:rich>
                  <a:bodyPr/>
                  <a:lstStyle/>
                  <a:p>
                    <a:fld id="{E56FC970-DEFB-4CAB-ADF1-9910397707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AE-4AD1-9B9F-0DF61FF07CCE}"/>
                </c:ext>
              </c:extLst>
            </c:dLbl>
            <c:dLbl>
              <c:idx val="3"/>
              <c:tx>
                <c:rich>
                  <a:bodyPr/>
                  <a:lstStyle/>
                  <a:p>
                    <a:fld id="{6F690F9C-F4E3-4CA0-89C8-151CC9BF11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AE-4AD1-9B9F-0DF61FF07CCE}"/>
                </c:ext>
              </c:extLst>
            </c:dLbl>
            <c:dLbl>
              <c:idx val="4"/>
              <c:tx>
                <c:rich>
                  <a:bodyPr/>
                  <a:lstStyle/>
                  <a:p>
                    <a:fld id="{215604CE-6BC1-41C9-95AD-1E798ABE5D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AE-4AD1-9B9F-0DF61FF07CCE}"/>
                </c:ext>
              </c:extLst>
            </c:dLbl>
            <c:dLbl>
              <c:idx val="5"/>
              <c:tx>
                <c:rich>
                  <a:bodyPr/>
                  <a:lstStyle/>
                  <a:p>
                    <a:fld id="{6B884C24-34C6-433A-B7E0-9F4348CE63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AE-4AD1-9B9F-0DF61FF07C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9525" cap="flat" cmpd="sng" algn="ctr">
                <a:solidFill>
                  <a:schemeClr val="tx1">
                    <a:lumMod val="65000"/>
                    <a:lumOff val="35000"/>
                  </a:schemeClr>
                </a:solidFill>
                <a:round/>
              </a:ln>
              <a:effectLst/>
            </c:spPr>
          </c:errBars>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Chart_Use'!$C$2:$C$7</c:f>
              <c:numCache>
                <c:formatCode>General</c:formatCode>
                <c:ptCount val="6"/>
                <c:pt idx="0">
                  <c:v>5</c:v>
                </c:pt>
                <c:pt idx="1">
                  <c:v>-5</c:v>
                </c:pt>
                <c:pt idx="2">
                  <c:v>5</c:v>
                </c:pt>
                <c:pt idx="3">
                  <c:v>-5</c:v>
                </c:pt>
                <c:pt idx="4">
                  <c:v>5</c:v>
                </c:pt>
                <c:pt idx="5">
                  <c:v>-5</c:v>
                </c:pt>
              </c:numCache>
            </c:numRef>
          </c:val>
          <c:smooth val="0"/>
          <c:extLst>
            <c:ext xmlns:c15="http://schemas.microsoft.com/office/drawing/2012/chart" uri="{02D57815-91ED-43cb-92C2-25804820EDAC}">
              <c15:datalabelsRange>
                <c15:f>'Timeline Chart_Use'!$A$2:$A$7</c15:f>
                <c15:dlblRangeCache>
                  <c:ptCount val="6"/>
                  <c:pt idx="0">
                    <c:v>MS1</c:v>
                  </c:pt>
                  <c:pt idx="1">
                    <c:v>MS2</c:v>
                  </c:pt>
                  <c:pt idx="2">
                    <c:v>MS3</c:v>
                  </c:pt>
                  <c:pt idx="3">
                    <c:v>MS4</c:v>
                  </c:pt>
                  <c:pt idx="4">
                    <c:v>MS5</c:v>
                  </c:pt>
                  <c:pt idx="5">
                    <c:v>MS6</c:v>
                  </c:pt>
                </c15:dlblRangeCache>
              </c15:datalabelsRange>
            </c:ext>
            <c:ext xmlns:c16="http://schemas.microsoft.com/office/drawing/2014/chart" uri="{C3380CC4-5D6E-409C-BE32-E72D297353CC}">
              <c16:uniqueId val="{00000004-8CAE-4AD1-9B9F-0DF61FF07CCE}"/>
            </c:ext>
          </c:extLst>
        </c:ser>
        <c:dLbls>
          <c:showLegendKey val="0"/>
          <c:showVal val="0"/>
          <c:showCatName val="0"/>
          <c:showSerName val="0"/>
          <c:showPercent val="0"/>
          <c:showBubbleSize val="0"/>
        </c:dLbls>
        <c:marker val="1"/>
        <c:smooth val="0"/>
        <c:axId val="1909981648"/>
        <c:axId val="1919300768"/>
      </c:lineChart>
      <c:lineChart>
        <c:grouping val="standard"/>
        <c:varyColors val="0"/>
        <c:ser>
          <c:idx val="0"/>
          <c:order val="0"/>
          <c:tx>
            <c:v>Date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Chart_Use'!$A$2:$A$7</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3-8CAE-4AD1-9B9F-0DF61FF07CCE}"/>
            </c:ext>
          </c:extLst>
        </c:ser>
        <c:dLbls>
          <c:showLegendKey val="0"/>
          <c:showVal val="0"/>
          <c:showCatName val="0"/>
          <c:showSerName val="0"/>
          <c:showPercent val="0"/>
          <c:showBubbleSize val="0"/>
        </c:dLbls>
        <c:marker val="1"/>
        <c:smooth val="0"/>
        <c:axId val="1909961248"/>
        <c:axId val="1919300352"/>
      </c:lineChart>
      <c:dateAx>
        <c:axId val="1909981648"/>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9300768"/>
        <c:crosses val="autoZero"/>
        <c:auto val="1"/>
        <c:lblOffset val="100"/>
        <c:baseTimeUnit val="months"/>
      </c:dateAx>
      <c:valAx>
        <c:axId val="19193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81648"/>
        <c:crosses val="autoZero"/>
        <c:crossBetween val="between"/>
      </c:valAx>
      <c:valAx>
        <c:axId val="1919300352"/>
        <c:scaling>
          <c:orientation val="minMax"/>
        </c:scaling>
        <c:delete val="1"/>
        <c:axPos val="r"/>
        <c:numFmt formatCode="General" sourceLinked="1"/>
        <c:majorTickMark val="out"/>
        <c:minorTickMark val="none"/>
        <c:tickLblPos val="nextTo"/>
        <c:crossAx val="1909961248"/>
        <c:crosses val="max"/>
        <c:crossBetween val="between"/>
      </c:valAx>
      <c:dateAx>
        <c:axId val="1909961248"/>
        <c:scaling>
          <c:orientation val="minMax"/>
        </c:scaling>
        <c:delete val="1"/>
        <c:axPos val="b"/>
        <c:numFmt formatCode="[$-409]mmm\-yy;@" sourceLinked="1"/>
        <c:majorTickMark val="out"/>
        <c:minorTickMark val="none"/>
        <c:tickLblPos val="nextTo"/>
        <c:crossAx val="1919300352"/>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Chart: Project Phases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Chart_Example 1'!$C$1</c:f>
              <c:strCache>
                <c:ptCount val="1"/>
                <c:pt idx="0">
                  <c:v>Helper</c:v>
                </c:pt>
              </c:strCache>
            </c:strRef>
          </c:tx>
          <c:spPr>
            <a:noFill/>
            <a:ln>
              <a:noFill/>
            </a:ln>
            <a:effectLst/>
          </c:spPr>
          <c:invertIfNegative val="0"/>
          <c:dLbls>
            <c:dLbl>
              <c:idx val="0"/>
              <c:tx>
                <c:rich>
                  <a:bodyPr/>
                  <a:lstStyle/>
                  <a:p>
                    <a:fld id="{30E58CB5-20C0-419B-A435-65EE2413A1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9C-4B26-92EF-03C53E7CF69A}"/>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359C-4B26-92EF-03C53E7CF69A}"/>
                </c:ext>
              </c:extLst>
            </c:dLbl>
            <c:dLbl>
              <c:idx val="2"/>
              <c:tx>
                <c:rich>
                  <a:bodyPr/>
                  <a:lstStyle/>
                  <a:p>
                    <a:fld id="{75CE2B47-25AA-43EB-97E3-5D4C4372BE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9C-4B26-92EF-03C53E7CF69A}"/>
                </c:ext>
              </c:extLst>
            </c:dLbl>
            <c:dLbl>
              <c:idx val="3"/>
              <c:tx>
                <c:rich>
                  <a:bodyPr/>
                  <a:lstStyle/>
                  <a:p>
                    <a:fld id="{4B9B062D-B927-4964-B076-AAAEC5CCB5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9C-4B26-92EF-03C53E7CF69A}"/>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359C-4B26-92EF-03C53E7CF69A}"/>
                </c:ext>
              </c:extLst>
            </c:dLbl>
            <c:dLbl>
              <c:idx val="5"/>
              <c:tx>
                <c:rich>
                  <a:bodyPr/>
                  <a:lstStyle/>
                  <a:p>
                    <a:fld id="{0E242645-8D6B-457D-BDCF-DA3AEA235E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9C-4B26-92EF-03C53E7CF69A}"/>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359C-4B26-92EF-03C53E7CF69A}"/>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359C-4B26-92EF-03C53E7CF69A}"/>
                </c:ext>
              </c:extLst>
            </c:dLbl>
            <c:dLbl>
              <c:idx val="8"/>
              <c:tx>
                <c:rich>
                  <a:bodyPr/>
                  <a:lstStyle/>
                  <a:p>
                    <a:fld id="{DD0ADD2E-B0CC-41F6-9D34-28CACE02FF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9C-4B26-92EF-03C53E7CF69A}"/>
                </c:ext>
              </c:extLst>
            </c:dLbl>
            <c:dLbl>
              <c:idx val="9"/>
              <c:tx>
                <c:rich>
                  <a:bodyPr/>
                  <a:lstStyle/>
                  <a:p>
                    <a:fld id="{86DA4D26-3169-4E17-BB58-05EB7E3276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9C-4B26-92EF-03C53E7CF69A}"/>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359C-4B26-92EF-03C53E7CF69A}"/>
                </c:ext>
              </c:extLst>
            </c:dLbl>
            <c:dLbl>
              <c:idx val="11"/>
              <c:tx>
                <c:rich>
                  <a:bodyPr/>
                  <a:lstStyle/>
                  <a:p>
                    <a:fld id="{43897913-753E-4690-89AE-54925AB944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9C-4B26-92EF-03C53E7CF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Chart_Example 1'!$A$2:$A$13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'Timeline Chart_Example 1'!$C$2:$C$13</c:f>
              <c:numCache>
                <c:formatCode>General</c:formatCode>
                <c:ptCount val="12"/>
                <c:pt idx="0">
                  <c:v>5</c:v>
                </c:pt>
                <c:pt idx="2">
                  <c:v>-5</c:v>
                </c:pt>
                <c:pt idx="3">
                  <c:v>5</c:v>
                </c:pt>
                <c:pt idx="5">
                  <c:v>-5</c:v>
                </c:pt>
                <c:pt idx="8">
                  <c:v>5</c:v>
                </c:pt>
                <c:pt idx="9">
                  <c:v>-5</c:v>
                </c:pt>
                <c:pt idx="11">
                  <c:v>5</c:v>
                </c:pt>
              </c:numCache>
            </c:numRef>
          </c:val>
          <c:extLst>
            <c:ext xmlns:c15="http://schemas.microsoft.com/office/drawing/2012/chart" uri="{02D57815-91ED-43cb-92C2-25804820EDAC}">
              <c15:datalabelsRange>
                <c15:f>'Timeline Chart_Example 1'!$B$2:$B$13</c15:f>
                <c15:dlblRangeCache>
                  <c:ptCount val="12"/>
                  <c:pt idx="0">
                    <c:v>Lead Generation</c:v>
                  </c:pt>
                  <c:pt idx="2">
                    <c:v>Lead Selection</c:v>
                  </c:pt>
                  <c:pt idx="3">
                    <c:v>Business Scope Review</c:v>
                  </c:pt>
                  <c:pt idx="5">
                    <c:v>Product Development</c:v>
                  </c:pt>
                  <c:pt idx="8">
                    <c:v>End Of Development</c:v>
                  </c:pt>
                  <c:pt idx="9">
                    <c:v>Product Testing</c:v>
                  </c:pt>
                  <c:pt idx="11">
                    <c:v>Product Launch</c:v>
                  </c:pt>
                </c15:dlblRangeCache>
              </c15:datalabelsRange>
            </c:ext>
            <c:ext xmlns:c16="http://schemas.microsoft.com/office/drawing/2014/chart" uri="{C3380CC4-5D6E-409C-BE32-E72D297353CC}">
              <c16:uniqueId val="{00000000-359C-4B26-92EF-03C53E7CF69A}"/>
            </c:ext>
          </c:extLst>
        </c:ser>
        <c:dLbls>
          <c:showLegendKey val="0"/>
          <c:showVal val="1"/>
          <c:showCatName val="0"/>
          <c:showSerName val="0"/>
          <c:showPercent val="0"/>
          <c:showBubbleSize val="0"/>
        </c:dLbls>
        <c:gapWidth val="219"/>
        <c:overlap val="-27"/>
        <c:axId val="1023972224"/>
        <c:axId val="1031892832"/>
      </c:barChart>
      <c:catAx>
        <c:axId val="1023972224"/>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92832"/>
        <c:crosses val="autoZero"/>
        <c:auto val="1"/>
        <c:lblAlgn val="ctr"/>
        <c:lblOffset val="100"/>
        <c:noMultiLvlLbl val="0"/>
      </c:catAx>
      <c:valAx>
        <c:axId val="1031892832"/>
        <c:scaling>
          <c:orientation val="minMax"/>
        </c:scaling>
        <c:delete val="1"/>
        <c:axPos val="l"/>
        <c:numFmt formatCode="General" sourceLinked="1"/>
        <c:majorTickMark val="none"/>
        <c:minorTickMark val="none"/>
        <c:tickLblPos val="nextTo"/>
        <c:crossAx val="102397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a:t>
            </a:r>
            <a:r>
              <a:rPr lang="en-US" baseline="0"/>
              <a:t> Chart: </a:t>
            </a:r>
            <a:r>
              <a:rPr lang="en-US"/>
              <a:t>Project Phases</a:t>
            </a:r>
          </a:p>
        </c:rich>
      </c:tx>
      <c:overlay val="0"/>
      <c:spPr>
        <a:noFill/>
        <a:ln>
          <a:noFill/>
        </a:ln>
        <a:effectLst/>
      </c:spPr>
    </c:title>
    <c:autoTitleDeleted val="0"/>
    <c:plotArea>
      <c:layout/>
      <c:barChart>
        <c:barDir val="col"/>
        <c:grouping val="clustered"/>
        <c:varyColors val="0"/>
        <c:ser>
          <c:idx val="0"/>
          <c:order val="0"/>
          <c:tx>
            <c:strRef>
              <c:f>'Timeline Chart_Example 2'!$F$1</c:f>
              <c:strCache>
                <c:ptCount val="1"/>
                <c:pt idx="0">
                  <c:v>Helper</c:v>
                </c:pt>
              </c:strCache>
            </c:strRef>
          </c:tx>
          <c:spPr>
            <a:solidFill>
              <a:schemeClr val="accent1"/>
            </a:solidFill>
            <a:ln>
              <a:noFill/>
            </a:ln>
            <a:effectLst/>
          </c:spPr>
          <c:invertIfNegative val="0"/>
          <c:cat>
            <c:strRef>
              <c:f>'Timeline Chart_Example 2'!$A$2:$A$7</c:f>
              <c:strCache>
                <c:ptCount val="6"/>
                <c:pt idx="0">
                  <c:v>WK1</c:v>
                </c:pt>
                <c:pt idx="1">
                  <c:v>WK2</c:v>
                </c:pt>
                <c:pt idx="2">
                  <c:v>WK3</c:v>
                </c:pt>
                <c:pt idx="3">
                  <c:v>WK4</c:v>
                </c:pt>
                <c:pt idx="4">
                  <c:v>WK5</c:v>
                </c:pt>
                <c:pt idx="5">
                  <c:v>WK6</c:v>
                </c:pt>
              </c:strCache>
            </c:strRef>
          </c:cat>
          <c:val>
            <c:numRef>
              <c:f>'Timeline Chart_Example 2'!$F$2:$F$7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A18-4573-B782-030BB7B7D154}"/>
            </c:ext>
          </c:extLst>
        </c:ser>
        <c:dLbls>
          <c:showLegendKey val="0"/>
          <c:showVal val="0"/>
          <c:showCatName val="0"/>
          <c:showSerName val="0"/>
          <c:showPercent val="0"/>
          <c:showBubbleSize val="0"/>
        </c:dLbls>
        <c:gapWidth val="150"/>
        <c:axId val="1094664304"/>
        <c:axId val="1031178576"/>
      </c:barChart>
      <c:barChart>
        <c:barDir val="col"/>
        <c:grouping val="clustered"/>
        <c:varyColors val="0"/>
        <c:ser>
          <c:idx val="1"/>
          <c:order val="1"/>
          <c:tx>
            <c:strRef>
              <c:f>'Timeline Chart_Example 2'!$C$1</c:f>
              <c:strCache>
                <c:ptCount val="1"/>
                <c:pt idx="0">
                  <c:v>Estimated Hours</c:v>
                </c:pt>
              </c:strCache>
            </c:strRef>
          </c:tx>
          <c:spPr>
            <a:noFill/>
            <a:ln>
              <a:noFill/>
            </a:ln>
            <a:effectLst/>
          </c:spPr>
          <c:invertIfNegative val="0"/>
          <c:dLbls>
            <c:dLbl>
              <c:idx val="0"/>
              <c:tx>
                <c:rich>
                  <a:bodyPr/>
                  <a:lstStyle/>
                  <a:p>
                    <a:fld id="{76B08218-F37A-4FCA-913F-54EF290141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18-4573-B782-030BB7B7D154}"/>
                </c:ext>
              </c:extLst>
            </c:dLbl>
            <c:dLbl>
              <c:idx val="1"/>
              <c:tx>
                <c:rich>
                  <a:bodyPr/>
                  <a:lstStyle/>
                  <a:p>
                    <a:fld id="{4A2D0E3D-D63E-4476-8D47-5F72563C74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A18-4573-B782-030BB7B7D154}"/>
                </c:ext>
              </c:extLst>
            </c:dLbl>
            <c:dLbl>
              <c:idx val="2"/>
              <c:tx>
                <c:rich>
                  <a:bodyPr/>
                  <a:lstStyle/>
                  <a:p>
                    <a:fld id="{EC2624CA-6408-42F2-8C34-F0EB6082C1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18-4573-B782-030BB7B7D154}"/>
                </c:ext>
              </c:extLst>
            </c:dLbl>
            <c:dLbl>
              <c:idx val="3"/>
              <c:tx>
                <c:rich>
                  <a:bodyPr/>
                  <a:lstStyle/>
                  <a:p>
                    <a:fld id="{9B27C5DD-762C-481A-A73A-ABD6DDC1C6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A18-4573-B782-030BB7B7D154}"/>
                </c:ext>
              </c:extLst>
            </c:dLbl>
            <c:dLbl>
              <c:idx val="4"/>
              <c:tx>
                <c:rich>
                  <a:bodyPr/>
                  <a:lstStyle/>
                  <a:p>
                    <a:fld id="{686AD040-DBE9-45A2-A071-76AF4714F3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A18-4573-B782-030BB7B7D154}"/>
                </c:ext>
              </c:extLst>
            </c:dLbl>
            <c:dLbl>
              <c:idx val="5"/>
              <c:tx>
                <c:rich>
                  <a:bodyPr/>
                  <a:lstStyle/>
                  <a:p>
                    <a:fld id="{DCA451D6-343E-4278-B6A7-CC62088163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A18-4573-B782-030BB7B7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25400" cap="flat" cmpd="sng" algn="ctr">
                <a:solidFill>
                  <a:srgbClr val="0CA0A0"/>
                </a:solidFill>
                <a:prstDash val="dashDot"/>
                <a:round/>
              </a:ln>
              <a:effectLst/>
            </c:spPr>
          </c:errBars>
          <c:val>
            <c:numRef>
              <c:f>'Timeline Chart_Example 2'!$C$2:$C$7</c:f>
              <c:numCache>
                <c:formatCode>General</c:formatCode>
                <c:ptCount val="6"/>
                <c:pt idx="0">
                  <c:v>35</c:v>
                </c:pt>
                <c:pt idx="1">
                  <c:v>50</c:v>
                </c:pt>
                <c:pt idx="2">
                  <c:v>20</c:v>
                </c:pt>
                <c:pt idx="3">
                  <c:v>25</c:v>
                </c:pt>
                <c:pt idx="4">
                  <c:v>15</c:v>
                </c:pt>
                <c:pt idx="5">
                  <c:v>10</c:v>
                </c:pt>
              </c:numCache>
            </c:numRef>
          </c:val>
          <c:extLst>
            <c:ext xmlns:c15="http://schemas.microsoft.com/office/drawing/2012/chart" uri="{02D57815-91ED-43cb-92C2-25804820EDAC}">
              <c15:datalabelsRange>
                <c15:f>'Timeline Chart_Example 2'!$B$2:$B$7</c15:f>
                <c15:dlblRangeCache>
                  <c:ptCount val="6"/>
                  <c:pt idx="0">
                    <c:v>Planning</c:v>
                  </c:pt>
                  <c:pt idx="1">
                    <c:v>Development</c:v>
                  </c:pt>
                  <c:pt idx="2">
                    <c:v>Optimization</c:v>
                  </c:pt>
                  <c:pt idx="3">
                    <c:v>Testing</c:v>
                  </c:pt>
                  <c:pt idx="4">
                    <c:v>Review</c:v>
                  </c:pt>
                  <c:pt idx="5">
                    <c:v>Product Launch</c:v>
                  </c:pt>
                </c15:dlblRangeCache>
              </c15:datalabelsRange>
            </c:ext>
            <c:ext xmlns:c16="http://schemas.microsoft.com/office/drawing/2014/chart" uri="{C3380CC4-5D6E-409C-BE32-E72D297353CC}">
              <c16:uniqueId val="{00000004-2A18-4573-B782-030BB7B7D154}"/>
            </c:ext>
          </c:extLst>
        </c:ser>
        <c:ser>
          <c:idx val="2"/>
          <c:order val="2"/>
          <c:tx>
            <c:strRef>
              <c:f>'Timeline Chart_Example 2'!$D$1</c:f>
              <c:strCache>
                <c:ptCount val="1"/>
                <c:pt idx="0">
                  <c:v>Hours Spent</c:v>
                </c:pt>
              </c:strCache>
            </c:strRef>
          </c:tx>
          <c:spPr>
            <a:solidFill>
              <a:schemeClr val="accent2"/>
            </a:solidFill>
            <a:ln>
              <a:noFill/>
            </a:ln>
            <a:effectLst/>
          </c:spPr>
          <c:invertIfNegative val="0"/>
          <c:dLbls>
            <c:dLbl>
              <c:idx val="0"/>
              <c:tx>
                <c:rich>
                  <a:bodyPr/>
                  <a:lstStyle/>
                  <a:p>
                    <a:fld id="{0DF31D7F-4702-4A75-BC5C-2E53A82A5F9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A18-4573-B782-030BB7B7D154}"/>
                </c:ext>
              </c:extLst>
            </c:dLbl>
            <c:dLbl>
              <c:idx val="1"/>
              <c:tx>
                <c:rich>
                  <a:bodyPr/>
                  <a:lstStyle/>
                  <a:p>
                    <a:fld id="{55ADA285-83A8-4271-BE8B-9F7D1C54251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18-4573-B782-030BB7B7D154}"/>
                </c:ext>
              </c:extLst>
            </c:dLbl>
            <c:dLbl>
              <c:idx val="2"/>
              <c:tx>
                <c:rich>
                  <a:bodyPr/>
                  <a:lstStyle/>
                  <a:p>
                    <a:fld id="{D1D069BA-CC18-430A-B9BF-A98A0002C7F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A18-4573-B782-030BB7B7D154}"/>
                </c:ext>
              </c:extLst>
            </c:dLbl>
            <c:dLbl>
              <c:idx val="3"/>
              <c:tx>
                <c:rich>
                  <a:bodyPr/>
                  <a:lstStyle/>
                  <a:p>
                    <a:fld id="{3D585CCA-72C9-4F1A-A140-1253B1FD1E9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A18-4573-B782-030BB7B7D154}"/>
                </c:ext>
              </c:extLst>
            </c:dLbl>
            <c:dLbl>
              <c:idx val="4"/>
              <c:tx>
                <c:rich>
                  <a:bodyPr/>
                  <a:lstStyle/>
                  <a:p>
                    <a:fld id="{831EE3A7-B7F1-4BB2-A14F-3C2610A9A435}"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A18-4573-B782-030BB7B7D154}"/>
                </c:ext>
              </c:extLst>
            </c:dLbl>
            <c:dLbl>
              <c:idx val="5"/>
              <c:tx>
                <c:rich>
                  <a:bodyPr/>
                  <a:lstStyle/>
                  <a:p>
                    <a:fld id="{F598475A-DD13-4182-9CD3-1BF4ED0C62F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A18-4573-B782-030BB7B7D154}"/>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'Timeline Chart_Example 2'!$D$2:$D$7</c:f>
              <c:numCache>
                <c:formatCode>General</c:formatCode>
                <c:ptCount val="6"/>
                <c:pt idx="0">
                  <c:v>35</c:v>
                </c:pt>
                <c:pt idx="1">
                  <c:v>40</c:v>
                </c:pt>
                <c:pt idx="2">
                  <c:v>10</c:v>
                </c:pt>
                <c:pt idx="3">
                  <c:v>5</c:v>
                </c:pt>
                <c:pt idx="4">
                  <c:v>0</c:v>
                </c:pt>
                <c:pt idx="5">
                  <c:v>0</c:v>
                </c:pt>
              </c:numCache>
            </c:numRef>
          </c:val>
          <c:extLst>
            <c:ext xmlns:c15="http://schemas.microsoft.com/office/drawing/2012/chart" uri="{02D57815-91ED-43cb-92C2-25804820EDAC}">
              <c15:datalabelsRange>
                <c15:f>'Timeline Chart_Example 2'!$E$2:$E$7</c15:f>
                <c15:dlblRangeCache>
                  <c:ptCount val="6"/>
                  <c:pt idx="0">
                    <c:v>100%</c:v>
                  </c:pt>
                  <c:pt idx="1">
                    <c:v>80%</c:v>
                  </c:pt>
                  <c:pt idx="2">
                    <c:v>50%</c:v>
                  </c:pt>
                  <c:pt idx="3">
                    <c:v>20%</c:v>
                  </c:pt>
                  <c:pt idx="4">
                    <c:v>0%</c:v>
                  </c:pt>
                  <c:pt idx="5">
                    <c:v>0%</c:v>
                  </c:pt>
                </c15:dlblRangeCache>
              </c15:datalabelsRange>
            </c:ext>
            <c:ext xmlns:c16="http://schemas.microsoft.com/office/drawing/2014/chart" uri="{C3380CC4-5D6E-409C-BE32-E72D297353CC}">
              <c16:uniqueId val="{00000005-2A18-4573-B782-030BB7B7D154}"/>
            </c:ext>
          </c:extLst>
        </c:ser>
        <c:dLbls>
          <c:showLegendKey val="0"/>
          <c:showVal val="0"/>
          <c:showCatName val="0"/>
          <c:showSerName val="0"/>
          <c:showPercent val="0"/>
          <c:showBubbleSize val="0"/>
        </c:dLbls>
        <c:gapWidth val="150"/>
        <c:overlap val="50"/>
        <c:axId val="1089287488"/>
        <c:axId val="1136546192"/>
      </c:barChart>
      <c:catAx>
        <c:axId val="10946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576"/>
        <c:crosses val="autoZero"/>
        <c:auto val="1"/>
        <c:lblAlgn val="ctr"/>
        <c:lblOffset val="100"/>
        <c:noMultiLvlLbl val="0"/>
      </c:catAx>
      <c:valAx>
        <c:axId val="103117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4664304"/>
        <c:crosses val="autoZero"/>
        <c:crossBetween val="between"/>
      </c:valAx>
      <c:valAx>
        <c:axId val="113654619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itle>
        <c:numFmt formatCode="General" sourceLinked="1"/>
        <c:majorTickMark val="in"/>
        <c:minorTickMark val="in"/>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287488"/>
        <c:crosses val="max"/>
        <c:crossBetween val="between"/>
      </c:valAx>
      <c:catAx>
        <c:axId val="1089287488"/>
        <c:scaling>
          <c:orientation val="minMax"/>
        </c:scaling>
        <c:delete val="1"/>
        <c:axPos val="b"/>
        <c:majorTickMark val="out"/>
        <c:minorTickMark val="none"/>
        <c:tickLblPos val="nextTo"/>
        <c:crossAx val="1136546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Chart_FAQ'!$C$1</c:f>
              <c:strCache>
                <c:ptCount val="1"/>
                <c:pt idx="0">
                  <c:v>Helper</c:v>
                </c:pt>
              </c:strCache>
            </c:strRef>
          </c:tx>
          <c:spPr>
            <a:noFill/>
            <a:ln>
              <a:noFill/>
            </a:ln>
            <a:effectLst/>
          </c:spPr>
          <c:invertIfNegative val="0"/>
          <c:dLbls>
            <c:dLbl>
              <c:idx val="0"/>
              <c:tx>
                <c:rich>
                  <a:bodyPr/>
                  <a:lstStyle/>
                  <a:p>
                    <a:fld id="{F5343A74-17AC-4025-8A27-FF9E4FABE7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8B5-4E47-B92F-08F831EA4A7E}"/>
                </c:ext>
              </c:extLst>
            </c:dLbl>
            <c:dLbl>
              <c:idx val="1"/>
              <c:tx>
                <c:rich>
                  <a:bodyPr/>
                  <a:lstStyle/>
                  <a:p>
                    <a:fld id="{E2179BF3-AC50-43FE-BC7B-DBE7D1EC0E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8B5-4E47-B92F-08F831EA4A7E}"/>
                </c:ext>
              </c:extLst>
            </c:dLbl>
            <c:dLbl>
              <c:idx val="2"/>
              <c:tx>
                <c:rich>
                  <a:bodyPr/>
                  <a:lstStyle/>
                  <a:p>
                    <a:fld id="{D6F354E7-6266-4940-99BE-98F430EECB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8B5-4E47-B92F-08F831EA4A7E}"/>
                </c:ext>
              </c:extLst>
            </c:dLbl>
            <c:dLbl>
              <c:idx val="3"/>
              <c:tx>
                <c:rich>
                  <a:bodyPr/>
                  <a:lstStyle/>
                  <a:p>
                    <a:fld id="{3DD277A0-3ECB-47A4-BCC5-5844561F9EA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8B5-4E47-B92F-08F831EA4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Chart_FAQ'!$A$2:$A$5</c:f>
              <c:strCache>
                <c:ptCount val="4"/>
                <c:pt idx="0">
                  <c:v>Jan</c:v>
                </c:pt>
                <c:pt idx="1">
                  <c:v>Feb</c:v>
                </c:pt>
                <c:pt idx="2">
                  <c:v>Mar</c:v>
                </c:pt>
                <c:pt idx="3">
                  <c:v>Apr</c:v>
                </c:pt>
              </c:strCache>
            </c:strRef>
          </c:cat>
          <c:val>
            <c:numRef>
              <c:f>'Timeline Chart_FAQ'!$C$2:$C$5</c:f>
              <c:numCache>
                <c:formatCode>General</c:formatCode>
                <c:ptCount val="4"/>
                <c:pt idx="0">
                  <c:v>1</c:v>
                </c:pt>
                <c:pt idx="1">
                  <c:v>-1</c:v>
                </c:pt>
                <c:pt idx="2">
                  <c:v>1</c:v>
                </c:pt>
                <c:pt idx="3">
                  <c:v>-1</c:v>
                </c:pt>
              </c:numCache>
            </c:numRef>
          </c:val>
          <c:extLst>
            <c:ext xmlns:c15="http://schemas.microsoft.com/office/drawing/2012/chart" uri="{02D57815-91ED-43cb-92C2-25804820EDAC}">
              <c15:datalabelsRange>
                <c15:f>'Timeline Chart_FAQ'!$B$2:$B$5</c15:f>
                <c15:dlblRangeCache>
                  <c:ptCount val="4"/>
                  <c:pt idx="0">
                    <c:v>MS1</c:v>
                  </c:pt>
                  <c:pt idx="1">
                    <c:v>MS2</c:v>
                  </c:pt>
                  <c:pt idx="2">
                    <c:v>MS3</c:v>
                  </c:pt>
                  <c:pt idx="3">
                    <c:v>MS4</c:v>
                  </c:pt>
                </c15:dlblRangeCache>
              </c15:datalabelsRange>
            </c:ext>
            <c:ext xmlns:c16="http://schemas.microsoft.com/office/drawing/2014/chart" uri="{C3380CC4-5D6E-409C-BE32-E72D297353CC}">
              <c16:uniqueId val="{00000000-48B5-4E47-B92F-08F831EA4A7E}"/>
            </c:ext>
          </c:extLst>
        </c:ser>
        <c:dLbls>
          <c:showLegendKey val="0"/>
          <c:showVal val="0"/>
          <c:showCatName val="0"/>
          <c:showSerName val="0"/>
          <c:showPercent val="0"/>
          <c:showBubbleSize val="0"/>
        </c:dLbls>
        <c:gapWidth val="219"/>
        <c:overlap val="-27"/>
        <c:axId val="1089303888"/>
        <c:axId val="1031181904"/>
      </c:barChart>
      <c:catAx>
        <c:axId val="1089303888"/>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81904"/>
        <c:crosses val="autoZero"/>
        <c:auto val="1"/>
        <c:lblAlgn val="ctr"/>
        <c:lblOffset val="100"/>
        <c:noMultiLvlLbl val="0"/>
      </c:catAx>
      <c:valAx>
        <c:axId val="1031181904"/>
        <c:scaling>
          <c:orientation val="minMax"/>
        </c:scaling>
        <c:delete val="1"/>
        <c:axPos val="l"/>
        <c:numFmt formatCode="General" sourceLinked="1"/>
        <c:majorTickMark val="none"/>
        <c:minorTickMark val="none"/>
        <c:tickLblPos val="nextTo"/>
        <c:crossAx val="10893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EMI</a:t>
            </a:r>
            <a:r>
              <a:rPr lang="en-US" baseline="0"/>
              <a:t> At Various Interest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'One-var Example 2'!$E$4:$E$8</c:f>
              <c:numCache>
                <c:formatCode>0.00%</c:formatCode>
                <c:ptCount val="5"/>
                <c:pt idx="0" formatCode="0%">
                  <c:v>0.11</c:v>
                </c:pt>
                <c:pt idx="1">
                  <c:v>0.115</c:v>
                </c:pt>
                <c:pt idx="2" formatCode="0%">
                  <c:v>0.12</c:v>
                </c:pt>
                <c:pt idx="3">
                  <c:v>0.125</c:v>
                </c:pt>
                <c:pt idx="4" formatCode="0%">
                  <c:v>0.13</c:v>
                </c:pt>
              </c:numCache>
            </c:numRef>
          </c:cat>
          <c:val>
            <c:numRef>
              <c:f>'One-var Example 2'!$F$4:$F$8</c:f>
              <c:numCache>
                <c:formatCode>"$"#,##0.00</c:formatCode>
                <c:ptCount val="5"/>
                <c:pt idx="0">
                  <c:v>6547.7434234004086</c:v>
                </c:pt>
                <c:pt idx="1">
                  <c:v>6595.2012865650177</c:v>
                </c:pt>
                <c:pt idx="2">
                  <c:v>6642.8619625702386</c:v>
                </c:pt>
                <c:pt idx="3">
                  <c:v>6690.7251153433044</c:v>
                </c:pt>
                <c:pt idx="4">
                  <c:v>6738.7904006583549</c:v>
                </c:pt>
              </c:numCache>
            </c:numRef>
          </c:val>
          <c:smooth val="0"/>
          <c:extLst>
            <c:ext xmlns:c16="http://schemas.microsoft.com/office/drawing/2014/chart" uri="{C3380CC4-5D6E-409C-BE32-E72D297353CC}">
              <c16:uniqueId val="{00000000-DB5F-4C98-82D6-2EBB7163E924}"/>
            </c:ext>
          </c:extLst>
        </c:ser>
        <c:dLbls>
          <c:showLegendKey val="0"/>
          <c:showVal val="0"/>
          <c:showCatName val="0"/>
          <c:showSerName val="0"/>
          <c:showPercent val="0"/>
          <c:showBubbleSize val="0"/>
        </c:dLbls>
        <c:marker val="1"/>
        <c:smooth val="0"/>
        <c:axId val="724379120"/>
        <c:axId val="729572832"/>
      </c:lineChart>
      <c:catAx>
        <c:axId val="72437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Interest Rate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72832"/>
        <c:crosses val="autoZero"/>
        <c:auto val="1"/>
        <c:lblAlgn val="ctr"/>
        <c:lblOffset val="100"/>
        <c:noMultiLvlLbl val="0"/>
      </c:catAx>
      <c:valAx>
        <c:axId val="72957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EMI</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a:t>
            </a:r>
            <a:r>
              <a:rPr lang="en-US" baseline="0"/>
              <a:t> Chart: Email Conversion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Funnel_Use_2013!$B$3</c:f>
              <c:strCache>
                <c:ptCount val="1"/>
                <c:pt idx="0">
                  <c:v>Dummy Data</c:v>
                </c:pt>
              </c:strCache>
            </c:strRef>
          </c:tx>
          <c:spPr>
            <a:noFill/>
            <a:ln>
              <a:noFill/>
            </a:ln>
            <a:effectLst/>
          </c:spPr>
          <c:invertIfNegative val="0"/>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Funnel_Use_2013!$B$4:$B$8</c:f>
              <c:numCache>
                <c:formatCode>General</c:formatCode>
                <c:ptCount val="5"/>
                <c:pt idx="0">
                  <c:v>0</c:v>
                </c:pt>
                <c:pt idx="1">
                  <c:v>500</c:v>
                </c:pt>
                <c:pt idx="2">
                  <c:v>1000</c:v>
                </c:pt>
                <c:pt idx="3">
                  <c:v>1500</c:v>
                </c:pt>
                <c:pt idx="4">
                  <c:v>2000</c:v>
                </c:pt>
              </c:numCache>
            </c:numRef>
          </c:val>
          <c:extLst>
            <c:ext xmlns:c16="http://schemas.microsoft.com/office/drawing/2014/chart" uri="{C3380CC4-5D6E-409C-BE32-E72D297353CC}">
              <c16:uniqueId val="{00000000-84BB-436B-9D36-2A26F79972CC}"/>
            </c:ext>
          </c:extLst>
        </c:ser>
        <c:ser>
          <c:idx val="1"/>
          <c:order val="1"/>
          <c:tx>
            <c:strRef>
              <c:f>Funnel_Use_2013!$C$3</c:f>
              <c:strCache>
                <c:ptCount val="1"/>
                <c:pt idx="0">
                  <c:v>Users</c:v>
                </c:pt>
              </c:strCache>
            </c:strRef>
          </c:tx>
          <c:spPr>
            <a:solidFill>
              <a:srgbClr val="0CA0A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Funnel_Use_2013!$C$4:$C$8</c:f>
              <c:numCache>
                <c:formatCode>General</c:formatCode>
                <c:ptCount val="5"/>
                <c:pt idx="0">
                  <c:v>5000</c:v>
                </c:pt>
                <c:pt idx="1">
                  <c:v>4000</c:v>
                </c:pt>
                <c:pt idx="2">
                  <c:v>3000</c:v>
                </c:pt>
                <c:pt idx="3">
                  <c:v>2000</c:v>
                </c:pt>
                <c:pt idx="4">
                  <c:v>1000</c:v>
                </c:pt>
              </c:numCache>
            </c:numRef>
          </c:val>
          <c:extLst>
            <c:ext xmlns:c16="http://schemas.microsoft.com/office/drawing/2014/chart" uri="{C3380CC4-5D6E-409C-BE32-E72D297353CC}">
              <c16:uniqueId val="{00000001-84BB-436B-9D36-2A26F79972CC}"/>
            </c:ext>
          </c:extLst>
        </c:ser>
        <c:dLbls>
          <c:showLegendKey val="0"/>
          <c:showVal val="0"/>
          <c:showCatName val="0"/>
          <c:showSerName val="0"/>
          <c:showPercent val="0"/>
          <c:showBubbleSize val="0"/>
        </c:dLbls>
        <c:gapWidth val="0"/>
        <c:overlap val="100"/>
        <c:axId val="1314771856"/>
        <c:axId val="1496581920"/>
      </c:barChart>
      <c:catAx>
        <c:axId val="13147718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581920"/>
        <c:crosses val="autoZero"/>
        <c:auto val="1"/>
        <c:lblAlgn val="ctr"/>
        <c:lblOffset val="100"/>
        <c:noMultiLvlLbl val="0"/>
      </c:catAx>
      <c:valAx>
        <c:axId val="1496581920"/>
        <c:scaling>
          <c:orientation val="minMax"/>
        </c:scaling>
        <c:delete val="1"/>
        <c:axPos val="t"/>
        <c:numFmt formatCode="General" sourceLinked="1"/>
        <c:majorTickMark val="none"/>
        <c:minorTickMark val="none"/>
        <c:tickLblPos val="nextTo"/>
        <c:crossAx val="13147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Funnel Chart: Pipeline Sales Funnel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'Funnel_Example 2_1'!$A$3</c:f>
              <c:strCache>
                <c:ptCount val="1"/>
                <c:pt idx="0">
                  <c:v>Clients Contacted</c:v>
                </c:pt>
              </c:strCache>
            </c:strRef>
          </c:tx>
          <c:spPr>
            <a:solidFill>
              <a:schemeClr val="accent1"/>
            </a:solidFill>
            <a:ln>
              <a:noFill/>
            </a:ln>
            <a:effectLst/>
            <a:sp3d/>
          </c:spPr>
          <c:invertIfNegative val="0"/>
          <c:dLbls>
            <c:dLbl>
              <c:idx val="0"/>
              <c:layout>
                <c:manualLayout>
                  <c:x val="0.27777777777777779"/>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2_1'!$B$3</c:f>
              <c:numCache>
                <c:formatCode>0%</c:formatCode>
                <c:ptCount val="1"/>
                <c:pt idx="0">
                  <c:v>1</c:v>
                </c:pt>
              </c:numCache>
            </c:numRef>
          </c:val>
          <c:extLst>
            <c:ext xmlns:c16="http://schemas.microsoft.com/office/drawing/2014/chart" uri="{C3380CC4-5D6E-409C-BE32-E72D297353CC}">
              <c16:uniqueId val="{00000000-1FBE-4BDE-B979-AED5DEB55929}"/>
            </c:ext>
          </c:extLst>
        </c:ser>
        <c:ser>
          <c:idx val="1"/>
          <c:order val="1"/>
          <c:tx>
            <c:strRef>
              <c:f>'Funnel_Example 2_1'!$A$4</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2_1'!$B$4</c:f>
              <c:numCache>
                <c:formatCode>0%</c:formatCode>
                <c:ptCount val="1"/>
                <c:pt idx="0">
                  <c:v>0.1</c:v>
                </c:pt>
              </c:numCache>
            </c:numRef>
          </c:val>
          <c:extLst>
            <c:ext xmlns:c16="http://schemas.microsoft.com/office/drawing/2014/chart" uri="{C3380CC4-5D6E-409C-BE32-E72D297353CC}">
              <c16:uniqueId val="{00000001-1FBE-4BDE-B979-AED5DEB55929}"/>
            </c:ext>
          </c:extLst>
        </c:ser>
        <c:ser>
          <c:idx val="2"/>
          <c:order val="2"/>
          <c:tx>
            <c:strRef>
              <c:f>'Funnel_Example 2_1'!$A$5</c:f>
              <c:strCache>
                <c:ptCount val="1"/>
                <c:pt idx="0">
                  <c:v>Qualification</c:v>
                </c:pt>
              </c:strCache>
            </c:strRef>
          </c:tx>
          <c:spPr>
            <a:solidFill>
              <a:schemeClr val="accent3"/>
            </a:solidFill>
            <a:ln>
              <a:noFill/>
            </a:ln>
            <a:effectLst/>
            <a:sp3d/>
          </c:spPr>
          <c:invertIfNegative val="0"/>
          <c:dLbls>
            <c:dLbl>
              <c:idx val="0"/>
              <c:layout>
                <c:manualLayout>
                  <c:x val="0.23333333333333323"/>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2_1'!$B$5</c:f>
              <c:numCache>
                <c:formatCode>0%</c:formatCode>
                <c:ptCount val="1"/>
                <c:pt idx="0">
                  <c:v>0.75</c:v>
                </c:pt>
              </c:numCache>
            </c:numRef>
          </c:val>
          <c:extLst>
            <c:ext xmlns:c16="http://schemas.microsoft.com/office/drawing/2014/chart" uri="{C3380CC4-5D6E-409C-BE32-E72D297353CC}">
              <c16:uniqueId val="{00000002-1FBE-4BDE-B979-AED5DEB55929}"/>
            </c:ext>
          </c:extLst>
        </c:ser>
        <c:ser>
          <c:idx val="3"/>
          <c:order val="3"/>
          <c:tx>
            <c:strRef>
              <c:f>'Funnel_Example 2_1'!$A$6</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2_1'!$B$6</c:f>
              <c:numCache>
                <c:formatCode>0%</c:formatCode>
                <c:ptCount val="1"/>
                <c:pt idx="0">
                  <c:v>0.1</c:v>
                </c:pt>
              </c:numCache>
            </c:numRef>
          </c:val>
          <c:extLst>
            <c:ext xmlns:c16="http://schemas.microsoft.com/office/drawing/2014/chart" uri="{C3380CC4-5D6E-409C-BE32-E72D297353CC}">
              <c16:uniqueId val="{00000003-1FBE-4BDE-B979-AED5DEB55929}"/>
            </c:ext>
          </c:extLst>
        </c:ser>
        <c:ser>
          <c:idx val="4"/>
          <c:order val="4"/>
          <c:tx>
            <c:strRef>
              <c:f>'Funnel_Example 2_1'!$A$7</c:f>
              <c:strCache>
                <c:ptCount val="1"/>
                <c:pt idx="0">
                  <c:v>Clients Met</c:v>
                </c:pt>
              </c:strCache>
            </c:strRef>
          </c:tx>
          <c:spPr>
            <a:solidFill>
              <a:schemeClr val="accent5"/>
            </a:solidFill>
            <a:ln>
              <a:noFill/>
            </a:ln>
            <a:effectLst/>
            <a:sp3d/>
          </c:spPr>
          <c:invertIfNegative val="0"/>
          <c:dLbls>
            <c:dLbl>
              <c:idx val="0"/>
              <c:layout>
                <c:manualLayout>
                  <c:x val="0.2"/>
                  <c:y val="4.379562043795620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2_1'!$B$7</c:f>
              <c:numCache>
                <c:formatCode>0%</c:formatCode>
                <c:ptCount val="1"/>
                <c:pt idx="0">
                  <c:v>0.5</c:v>
                </c:pt>
              </c:numCache>
            </c:numRef>
          </c:val>
          <c:extLst>
            <c:ext xmlns:c16="http://schemas.microsoft.com/office/drawing/2014/chart" uri="{C3380CC4-5D6E-409C-BE32-E72D297353CC}">
              <c16:uniqueId val="{00000004-1FBE-4BDE-B979-AED5DEB55929}"/>
            </c:ext>
          </c:extLst>
        </c:ser>
        <c:ser>
          <c:idx val="5"/>
          <c:order val="5"/>
          <c:tx>
            <c:strRef>
              <c:f>'Funnel_Example 2_1'!$A$8</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2_1'!$B$8</c:f>
              <c:numCache>
                <c:formatCode>0%</c:formatCode>
                <c:ptCount val="1"/>
                <c:pt idx="0">
                  <c:v>0.1</c:v>
                </c:pt>
              </c:numCache>
            </c:numRef>
          </c:val>
          <c:extLst>
            <c:ext xmlns:c16="http://schemas.microsoft.com/office/drawing/2014/chart" uri="{C3380CC4-5D6E-409C-BE32-E72D297353CC}">
              <c16:uniqueId val="{00000009-1FBE-4BDE-B979-AED5DEB55929}"/>
            </c:ext>
          </c:extLst>
        </c:ser>
        <c:ser>
          <c:idx val="6"/>
          <c:order val="6"/>
          <c:tx>
            <c:strRef>
              <c:f>'Funnel_Example 2_1'!$A$9</c:f>
              <c:strCache>
                <c:ptCount val="1"/>
                <c:pt idx="0">
                  <c:v>Proposal</c:v>
                </c:pt>
              </c:strCache>
            </c:strRef>
          </c:tx>
          <c:spPr>
            <a:solidFill>
              <a:schemeClr val="accent1">
                <a:lumMod val="60000"/>
              </a:schemeClr>
            </a:solidFill>
            <a:ln>
              <a:noFill/>
            </a:ln>
            <a:effectLst/>
            <a:sp3d/>
          </c:spPr>
          <c:invertIfNegative val="0"/>
          <c:dLbls>
            <c:dLbl>
              <c:idx val="0"/>
              <c:layout>
                <c:manualLayout>
                  <c:x val="0.18055555555555544"/>
                  <c:y val="4.379590781079385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2_1'!$B$9</c:f>
              <c:numCache>
                <c:formatCode>0%</c:formatCode>
                <c:ptCount val="1"/>
                <c:pt idx="0">
                  <c:v>0.35</c:v>
                </c:pt>
              </c:numCache>
            </c:numRef>
          </c:val>
          <c:extLst>
            <c:ext xmlns:c16="http://schemas.microsoft.com/office/drawing/2014/chart" uri="{C3380CC4-5D6E-409C-BE32-E72D297353CC}">
              <c16:uniqueId val="{0000000A-1FBE-4BDE-B979-AED5DEB55929}"/>
            </c:ext>
          </c:extLst>
        </c:ser>
        <c:ser>
          <c:idx val="7"/>
          <c:order val="7"/>
          <c:tx>
            <c:strRef>
              <c:f>'Funnel_Example 2_1'!$A$10</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2_1'!$B$10</c:f>
              <c:numCache>
                <c:formatCode>0%</c:formatCode>
                <c:ptCount val="1"/>
                <c:pt idx="0">
                  <c:v>0.1</c:v>
                </c:pt>
              </c:numCache>
            </c:numRef>
          </c:val>
          <c:extLst>
            <c:ext xmlns:c16="http://schemas.microsoft.com/office/drawing/2014/chart" uri="{C3380CC4-5D6E-409C-BE32-E72D297353CC}">
              <c16:uniqueId val="{0000000B-1FBE-4BDE-B979-AED5DEB55929}"/>
            </c:ext>
          </c:extLst>
        </c:ser>
        <c:ser>
          <c:idx val="8"/>
          <c:order val="8"/>
          <c:tx>
            <c:strRef>
              <c:f>'Funnel_Example 2_1'!$A$11</c:f>
              <c:strCache>
                <c:ptCount val="1"/>
                <c:pt idx="0">
                  <c:v>Deal Closed</c:v>
                </c:pt>
              </c:strCache>
            </c:strRef>
          </c:tx>
          <c:spPr>
            <a:solidFill>
              <a:schemeClr val="accent3">
                <a:lumMod val="60000"/>
              </a:schemeClr>
            </a:solidFill>
            <a:ln>
              <a:noFill/>
            </a:ln>
            <a:effectLst/>
            <a:sp3d/>
          </c:spPr>
          <c:invertIfNegative val="0"/>
          <c:dLbls>
            <c:dLbl>
              <c:idx val="0"/>
              <c:layout>
                <c:manualLayout>
                  <c:x val="0.16666666666666657"/>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2_1'!$B$11</c:f>
              <c:numCache>
                <c:formatCode>0%</c:formatCode>
                <c:ptCount val="1"/>
                <c:pt idx="0">
                  <c:v>0.2</c:v>
                </c:pt>
              </c:numCache>
            </c:numRef>
          </c:val>
          <c:extLst>
            <c:ext xmlns:c16="http://schemas.microsoft.com/office/drawing/2014/chart" uri="{C3380CC4-5D6E-409C-BE32-E72D297353CC}">
              <c16:uniqueId val="{0000000C-1FBE-4BDE-B979-AED5DEB55929}"/>
            </c:ext>
          </c:extLst>
        </c:ser>
        <c:dLbls>
          <c:showLegendKey val="0"/>
          <c:showVal val="0"/>
          <c:showCatName val="0"/>
          <c:showSerName val="0"/>
          <c:showPercent val="0"/>
          <c:showBubbleSize val="0"/>
        </c:dLbls>
        <c:gapWidth val="150"/>
        <c:shape val="pyramid"/>
        <c:axId val="139241295"/>
        <c:axId val="579325519"/>
        <c:axId val="0"/>
      </c:bar3DChart>
      <c:catAx>
        <c:axId val="139241295"/>
        <c:scaling>
          <c:orientation val="minMax"/>
        </c:scaling>
        <c:delete val="1"/>
        <c:axPos val="t"/>
        <c:numFmt formatCode="General" sourceLinked="1"/>
        <c:majorTickMark val="none"/>
        <c:minorTickMark val="none"/>
        <c:tickLblPos val="nextTo"/>
        <c:crossAx val="579325519"/>
        <c:crosses val="autoZero"/>
        <c:auto val="1"/>
        <c:lblAlgn val="ctr"/>
        <c:lblOffset val="100"/>
        <c:noMultiLvlLbl val="0"/>
      </c:catAx>
      <c:valAx>
        <c:axId val="579325519"/>
        <c:scaling>
          <c:orientation val="maxMin"/>
        </c:scaling>
        <c:delete val="1"/>
        <c:axPos val="l"/>
        <c:numFmt formatCode="0%" sourceLinked="1"/>
        <c:majorTickMark val="none"/>
        <c:minorTickMark val="none"/>
        <c:tickLblPos val="nextTo"/>
        <c:crossAx val="139241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Between X And Y Datasets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'CORREL_Example 2'!$B$1</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'CORREL_Example 2'!$A$2:$A$11</c:f>
              <c:numCache>
                <c:formatCode>General</c:formatCode>
                <c:ptCount val="10"/>
                <c:pt idx="0">
                  <c:v>10</c:v>
                </c:pt>
                <c:pt idx="1">
                  <c:v>30</c:v>
                </c:pt>
                <c:pt idx="2">
                  <c:v>20</c:v>
                </c:pt>
                <c:pt idx="3">
                  <c:v>40</c:v>
                </c:pt>
                <c:pt idx="4">
                  <c:v>50</c:v>
                </c:pt>
                <c:pt idx="5">
                  <c:v>60</c:v>
                </c:pt>
                <c:pt idx="6">
                  <c:v>90</c:v>
                </c:pt>
                <c:pt idx="7">
                  <c:v>80</c:v>
                </c:pt>
                <c:pt idx="8">
                  <c:v>100</c:v>
                </c:pt>
                <c:pt idx="9">
                  <c:v>70</c:v>
                </c:pt>
              </c:numCache>
            </c:numRef>
          </c:xVal>
          <c:yVal>
            <c:numRef>
              <c:f>'CORREL_Example 2'!$B$2:$B$11</c:f>
              <c:numCache>
                <c:formatCode>General</c:formatCode>
                <c:ptCount val="10"/>
                <c:pt idx="0">
                  <c:v>300</c:v>
                </c:pt>
                <c:pt idx="1">
                  <c:v>100</c:v>
                </c:pt>
                <c:pt idx="2">
                  <c:v>100</c:v>
                </c:pt>
                <c:pt idx="3">
                  <c:v>400</c:v>
                </c:pt>
                <c:pt idx="4">
                  <c:v>200</c:v>
                </c:pt>
                <c:pt idx="5">
                  <c:v>600</c:v>
                </c:pt>
                <c:pt idx="6">
                  <c:v>100</c:v>
                </c:pt>
                <c:pt idx="7">
                  <c:v>200</c:v>
                </c:pt>
                <c:pt idx="8">
                  <c:v>0</c:v>
                </c:pt>
                <c:pt idx="9">
                  <c:v>1000</c:v>
                </c:pt>
              </c:numCache>
            </c:numRef>
          </c:yVal>
          <c:smooth val="0"/>
          <c:extLst>
            <c:ext xmlns:c16="http://schemas.microsoft.com/office/drawing/2014/chart" uri="{C3380CC4-5D6E-409C-BE32-E72D297353CC}">
              <c16:uniqueId val="{00000000-C164-4BBD-86EE-77BC447BB844}"/>
            </c:ext>
          </c:extLst>
        </c:ser>
        <c:dLbls>
          <c:showLegendKey val="0"/>
          <c:showVal val="0"/>
          <c:showCatName val="0"/>
          <c:showSerName val="0"/>
          <c:showPercent val="0"/>
          <c:showBubbleSize val="0"/>
        </c:dLbls>
        <c:axId val="1086229216"/>
        <c:axId val="1140451136"/>
      </c:scatterChart>
      <c:valAx>
        <c:axId val="1086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51136"/>
        <c:crosses val="autoZero"/>
        <c:crossBetween val="midCat"/>
      </c:valAx>
      <c:valAx>
        <c:axId val="11404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1'!$C$1</c:f>
              <c:strCache>
                <c:ptCount val="1"/>
                <c:pt idx="0">
                  <c:v>Normal Probability Density Function </c:v>
                </c:pt>
              </c:strCache>
            </c:strRef>
          </c:tx>
          <c:spPr>
            <a:ln w="19050" cap="rnd">
              <a:solidFill>
                <a:schemeClr val="accent1"/>
              </a:solidFill>
              <a:round/>
            </a:ln>
            <a:effectLst/>
          </c:spPr>
          <c:marker>
            <c:symbol val="none"/>
          </c:marker>
          <c:xVal>
            <c:numRef>
              <c:f>'NORM.DIST_Example 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1'!$C$2:$C$11</c:f>
              <c:numCache>
                <c:formatCode>General</c:formatCode>
                <c:ptCount val="10"/>
                <c:pt idx="0">
                  <c:v>4.9559741205374458E-2</c:v>
                </c:pt>
                <c:pt idx="1">
                  <c:v>9.4475460660239707E-2</c:v>
                </c:pt>
                <c:pt idx="2">
                  <c:v>0.14524872999399824</c:v>
                </c:pt>
                <c:pt idx="3">
                  <c:v>0.14524872999399824</c:v>
                </c:pt>
                <c:pt idx="4">
                  <c:v>0.18009804833275783</c:v>
                </c:pt>
                <c:pt idx="5">
                  <c:v>0.18009804833275783</c:v>
                </c:pt>
                <c:pt idx="6">
                  <c:v>0.14524872999399824</c:v>
                </c:pt>
                <c:pt idx="7">
                  <c:v>0.14524872999399824</c:v>
                </c:pt>
                <c:pt idx="8">
                  <c:v>9.4475460660239707E-2</c:v>
                </c:pt>
                <c:pt idx="9">
                  <c:v>4.9559741205374458E-2</c:v>
                </c:pt>
              </c:numCache>
            </c:numRef>
          </c:yVal>
          <c:smooth val="1"/>
          <c:extLst>
            <c:ext xmlns:c16="http://schemas.microsoft.com/office/drawing/2014/chart" uri="{C3380CC4-5D6E-409C-BE32-E72D297353CC}">
              <c16:uniqueId val="{00000000-BE81-4241-8527-8CD77CE9518B}"/>
            </c:ext>
          </c:extLst>
        </c:ser>
        <c:dLbls>
          <c:showLegendKey val="0"/>
          <c:showVal val="0"/>
          <c:showCatName val="0"/>
          <c:showSerName val="0"/>
          <c:showPercent val="0"/>
          <c:showBubbleSize val="0"/>
        </c:dLbls>
        <c:axId val="1152552431"/>
        <c:axId val="1148510511"/>
      </c:scatterChart>
      <c:valAx>
        <c:axId val="115255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10511"/>
        <c:crosses val="autoZero"/>
        <c:crossBetween val="midCat"/>
      </c:valAx>
      <c:valAx>
        <c:axId val="11485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Normal</a:t>
                </a:r>
                <a:r>
                  <a:rPr lang="en-US" baseline="0"/>
                  <a:t> Probability Density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52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1_1'!$C$1</c:f>
              <c:strCache>
                <c:ptCount val="1"/>
                <c:pt idx="0">
                  <c:v>Cumulative Normal Distribution Function </c:v>
                </c:pt>
              </c:strCache>
            </c:strRef>
          </c:tx>
          <c:spPr>
            <a:ln w="19050" cap="rnd">
              <a:solidFill>
                <a:schemeClr val="accent1"/>
              </a:solidFill>
              <a:round/>
            </a:ln>
            <a:effectLst/>
          </c:spPr>
          <c:marker>
            <c:symbol val="none"/>
          </c:marker>
          <c:xVal>
            <c:numRef>
              <c:f>'NORM.DIST_Example 1_1'!$B$2:$B$11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1_1'!$C$2:$C$11</c:f>
              <c:numCache>
                <c:formatCode>General</c:formatCode>
                <c:ptCount val="10"/>
                <c:pt idx="0">
                  <c:v>5.2285496532186421E-2</c:v>
                </c:pt>
                <c:pt idx="1">
                  <c:v>0.12315733674588042</c:v>
                </c:pt>
                <c:pt idx="2">
                  <c:v>0.24333706975464731</c:v>
                </c:pt>
                <c:pt idx="3">
                  <c:v>0.24333706975464731</c:v>
                </c:pt>
                <c:pt idx="4">
                  <c:v>0.40831970747037449</c:v>
                </c:pt>
                <c:pt idx="5">
                  <c:v>0.59168029252962551</c:v>
                </c:pt>
                <c:pt idx="6">
                  <c:v>0.75666293024535269</c:v>
                </c:pt>
                <c:pt idx="7">
                  <c:v>0.75666293024535269</c:v>
                </c:pt>
                <c:pt idx="8">
                  <c:v>0.87684266325411953</c:v>
                </c:pt>
                <c:pt idx="9">
                  <c:v>0.94771450346781361</c:v>
                </c:pt>
              </c:numCache>
            </c:numRef>
          </c:yVal>
          <c:smooth val="1"/>
          <c:extLst>
            <c:ext xmlns:c16="http://schemas.microsoft.com/office/drawing/2014/chart" uri="{C3380CC4-5D6E-409C-BE32-E72D297353CC}">
              <c16:uniqueId val="{00000000-00A4-4D0C-BB3D-6F16BDB80339}"/>
            </c:ext>
          </c:extLst>
        </c:ser>
        <c:dLbls>
          <c:showLegendKey val="0"/>
          <c:showVal val="0"/>
          <c:showCatName val="0"/>
          <c:showSerName val="0"/>
          <c:showPercent val="0"/>
          <c:showBubbleSize val="0"/>
        </c:dLbls>
        <c:axId val="1149529359"/>
        <c:axId val="1148508015"/>
      </c:scatterChart>
      <c:valAx>
        <c:axId val="1149529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08015"/>
        <c:crosses val="autoZero"/>
        <c:crossBetween val="midCat"/>
      </c:valAx>
      <c:valAx>
        <c:axId val="114850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Normal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2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Logarithmic</a:t>
            </a:r>
            <a:r>
              <a:rPr lang="en-US" baseline="0"/>
              <a:t> Regression Chart: Age-Weight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'LOG_Example 1'!$B$1</c:f>
              <c:strCache>
                <c:ptCount val="1"/>
                <c:pt idx="0">
                  <c:v>Weight in lb</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6.2131416426262187E-2"/>
                  <c:y val="-6.69460262103915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'LOG_Example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'LOG_Example 1'!$B$2:$B$11</c:f>
              <c:numCache>
                <c:formatCode>General</c:formatCode>
                <c:ptCount val="10"/>
                <c:pt idx="0">
                  <c:v>21</c:v>
                </c:pt>
                <c:pt idx="1">
                  <c:v>30</c:v>
                </c:pt>
                <c:pt idx="2">
                  <c:v>39</c:v>
                </c:pt>
                <c:pt idx="3">
                  <c:v>44</c:v>
                </c:pt>
                <c:pt idx="4">
                  <c:v>49</c:v>
                </c:pt>
                <c:pt idx="5">
                  <c:v>54</c:v>
                </c:pt>
                <c:pt idx="6">
                  <c:v>58</c:v>
                </c:pt>
                <c:pt idx="7">
                  <c:v>63</c:v>
                </c:pt>
                <c:pt idx="8">
                  <c:v>65</c:v>
                </c:pt>
                <c:pt idx="9">
                  <c:v>67</c:v>
                </c:pt>
              </c:numCache>
            </c:numRef>
          </c:yVal>
          <c:smooth val="0"/>
          <c:extLst>
            <c:ext xmlns:c16="http://schemas.microsoft.com/office/drawing/2014/chart" uri="{C3380CC4-5D6E-409C-BE32-E72D297353CC}">
              <c16:uniqueId val="{00000000-C718-478B-B04C-2CEE9381D686}"/>
            </c:ext>
          </c:extLst>
        </c:ser>
        <c:dLbls>
          <c:showLegendKey val="0"/>
          <c:showVal val="0"/>
          <c:showCatName val="0"/>
          <c:showSerName val="0"/>
          <c:showPercent val="0"/>
          <c:showBubbleSize val="0"/>
        </c:dLbls>
        <c:axId val="521271392"/>
        <c:axId val="500650848"/>
      </c:scatterChart>
      <c:valAx>
        <c:axId val="52127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50848"/>
        <c:crosses val="autoZero"/>
        <c:crossBetween val="midCat"/>
        <c:majorUnit val="1"/>
      </c:valAx>
      <c:valAx>
        <c:axId val="5006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in lb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Exponential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'EXP_Example 2'!$B$4</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'EXP_Example 2'!$A$5:$A$14</c:f>
              <c:numCache>
                <c:formatCode>General</c:formatCode>
                <c:ptCount val="10"/>
                <c:pt idx="0">
                  <c:v>0.2</c:v>
                </c:pt>
                <c:pt idx="1">
                  <c:v>0.4</c:v>
                </c:pt>
                <c:pt idx="2">
                  <c:v>0.6</c:v>
                </c:pt>
                <c:pt idx="3">
                  <c:v>0.8</c:v>
                </c:pt>
                <c:pt idx="4">
                  <c:v>1</c:v>
                </c:pt>
                <c:pt idx="5">
                  <c:v>1.2</c:v>
                </c:pt>
                <c:pt idx="6">
                  <c:v>1.4</c:v>
                </c:pt>
                <c:pt idx="7">
                  <c:v>1.6</c:v>
                </c:pt>
                <c:pt idx="8">
                  <c:v>1.8</c:v>
                </c:pt>
                <c:pt idx="9">
                  <c:v>2</c:v>
                </c:pt>
              </c:numCache>
            </c:numRef>
          </c:xVal>
          <c:yVal>
            <c:numRef>
              <c:f>'EXP_Example 2'!$B$5:$B$14</c:f>
              <c:numCache>
                <c:formatCode>General</c:formatCode>
                <c:ptCount val="10"/>
                <c:pt idx="0">
                  <c:v>1.3406400920712786E-2</c:v>
                </c:pt>
                <c:pt idx="1">
                  <c:v>8.9865792823444323E-3</c:v>
                </c:pt>
                <c:pt idx="2">
                  <c:v>6.0238842382440427E-3</c:v>
                </c:pt>
                <c:pt idx="3">
                  <c:v>4.0379303598931078E-3</c:v>
                </c:pt>
                <c:pt idx="4">
                  <c:v>2.7067056647322543E-3</c:v>
                </c:pt>
                <c:pt idx="5">
                  <c:v>1.8143590657882503E-3</c:v>
                </c:pt>
                <c:pt idx="6">
                  <c:v>1.2162012525043595E-3</c:v>
                </c:pt>
                <c:pt idx="7">
                  <c:v>8.1524407956732421E-4</c:v>
                </c:pt>
                <c:pt idx="8">
                  <c:v>5.4647444894585122E-4</c:v>
                </c:pt>
                <c:pt idx="9">
                  <c:v>3.6631277777468356E-4</c:v>
                </c:pt>
              </c:numCache>
            </c:numRef>
          </c:yVal>
          <c:smooth val="0"/>
          <c:extLst>
            <c:ext xmlns:c16="http://schemas.microsoft.com/office/drawing/2014/chart" uri="{C3380CC4-5D6E-409C-BE32-E72D297353CC}">
              <c16:uniqueId val="{00000000-B5FF-4C78-B83F-ECA263AC4ABA}"/>
            </c:ext>
          </c:extLst>
        </c:ser>
        <c:dLbls>
          <c:showLegendKey val="0"/>
          <c:showVal val="0"/>
          <c:showCatName val="0"/>
          <c:showSerName val="0"/>
          <c:showPercent val="0"/>
          <c:showBubbleSize val="0"/>
        </c:dLbls>
        <c:axId val="928681247"/>
        <c:axId val="970821199"/>
      </c:scatterChart>
      <c:valAx>
        <c:axId val="928681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21199"/>
        <c:crosses val="autoZero"/>
        <c:crossBetween val="midCat"/>
        <c:majorUnit val="0.2"/>
      </c:valAx>
      <c:valAx>
        <c:axId val="970821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681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Confidence</a:t>
            </a:r>
            <a:r>
              <a:rPr lang="en-US" baseline="0"/>
              <a:t> Interval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'CONFIDENCE_Example 1_1'!$C$2</c:f>
              <c:strCache>
                <c:ptCount val="1"/>
                <c:pt idx="0">
                  <c:v>Sample Mean (°F)</c:v>
                </c:pt>
              </c:strCache>
            </c:strRef>
          </c:tx>
          <c:spPr>
            <a:solidFill>
              <a:schemeClr val="accent1"/>
            </a:solidFill>
            <a:ln>
              <a:noFill/>
            </a:ln>
            <a:effectLst/>
          </c:spPr>
          <c:invertIfNegative val="0"/>
          <c:errBars>
            <c:errBarType val="both"/>
            <c:errValType val="cust"/>
            <c:noEndCap val="0"/>
            <c:plus>
              <c:numRef>
                <c:f>'CONFIDENCE_Example 1_1'!$D$3:$D$6</c:f>
                <c:numCache>
                  <c:formatCode>General</c:formatCode>
                  <c:ptCount val="4"/>
                  <c:pt idx="0">
                    <c:v>6.7446599999999997</c:v>
                  </c:pt>
                  <c:pt idx="1">
                    <c:v>3.21549</c:v>
                  </c:pt>
                  <c:pt idx="2">
                    <c:v>2.3892699999999998</c:v>
                  </c:pt>
                  <c:pt idx="3">
                    <c:v>1.94285</c:v>
                  </c:pt>
                </c:numCache>
              </c:numRef>
            </c:plus>
            <c:minus>
              <c:numRef>
                <c:f>'CONFIDENCE_Example 1_1'!$D$3:$D$6</c:f>
                <c:numCache>
                  <c:formatCode>General</c:formatCode>
                  <c:ptCount val="4"/>
                  <c:pt idx="0">
                    <c:v>6.7446599999999997</c:v>
                  </c:pt>
                  <c:pt idx="1">
                    <c:v>3.21549</c:v>
                  </c:pt>
                  <c:pt idx="2">
                    <c:v>2.3892699999999998</c:v>
                  </c:pt>
                  <c:pt idx="3">
                    <c:v>1.94285</c:v>
                  </c:pt>
                </c:numCache>
              </c:numRef>
            </c:minus>
            <c:spPr>
              <a:noFill/>
              <a:ln w="9525" cap="flat" cmpd="sng" algn="ctr">
                <a:solidFill>
                  <a:schemeClr val="tx1">
                    <a:lumMod val="65000"/>
                    <a:lumOff val="35000"/>
                  </a:schemeClr>
                </a:solidFill>
                <a:round/>
              </a:ln>
              <a:effectLst/>
            </c:spPr>
          </c:errBars>
          <c:cat>
            <c:strRef>
              <c:f>'CONFIDENCE_Example 1_1'!$B$3:$B$6</c:f>
              <c:strCache>
                <c:ptCount val="4"/>
                <c:pt idx="0">
                  <c:v>Texas</c:v>
                </c:pt>
                <c:pt idx="1">
                  <c:v>Georgia</c:v>
                </c:pt>
                <c:pt idx="2">
                  <c:v>California</c:v>
                </c:pt>
                <c:pt idx="3">
                  <c:v>Washington</c:v>
                </c:pt>
              </c:strCache>
            </c:strRef>
          </c:cat>
          <c:val>
            <c:numRef>
              <c:f>'CONFIDENCE_Example 1_1'!$C$3:$C$6</c:f>
              <c:numCache>
                <c:formatCode>General</c:formatCode>
                <c:ptCount val="4"/>
                <c:pt idx="0">
                  <c:v>70.5</c:v>
                </c:pt>
                <c:pt idx="1">
                  <c:v>68.3</c:v>
                </c:pt>
                <c:pt idx="2">
                  <c:v>63.4</c:v>
                </c:pt>
                <c:pt idx="3">
                  <c:v>58.9</c:v>
                </c:pt>
              </c:numCache>
            </c:numRef>
          </c:val>
          <c:extLst>
            <c:ext xmlns:c16="http://schemas.microsoft.com/office/drawing/2014/chart" uri="{C3380CC4-5D6E-409C-BE32-E72D297353CC}">
              <c16:uniqueId val="{00000000-2B43-40F9-8EC4-AB2AA59E23E2}"/>
            </c:ext>
          </c:extLst>
        </c:ser>
        <c:dLbls>
          <c:showLegendKey val="0"/>
          <c:showVal val="0"/>
          <c:showCatName val="0"/>
          <c:showSerName val="0"/>
          <c:showPercent val="0"/>
          <c:showBubbleSize val="0"/>
        </c:dLbls>
        <c:gapWidth val="219"/>
        <c:overlap val="-27"/>
        <c:axId val="132697471"/>
        <c:axId val="2113687119"/>
      </c:barChart>
      <c:catAx>
        <c:axId val="132697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687119"/>
        <c:crosses val="autoZero"/>
        <c:auto val="1"/>
        <c:lblAlgn val="ctr"/>
        <c:lblOffset val="100"/>
        <c:noMultiLvlLbl val="0"/>
      </c:catAx>
      <c:valAx>
        <c:axId val="211368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a:t>
                </a:r>
                <a:r>
                  <a:rPr lang="en-US" baseline="0"/>
                  <a:t> Mean (°F)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Customers-Sales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LI_Example2!$C$2</c:f>
              <c:strCache>
                <c:ptCount val="1"/>
                <c:pt idx="0">
                  <c:v>Sales in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LI_Example2!$B$3:$B$8</c:f>
              <c:numCache>
                <c:formatCode>General</c:formatCode>
                <c:ptCount val="6"/>
                <c:pt idx="0">
                  <c:v>10</c:v>
                </c:pt>
                <c:pt idx="1">
                  <c:v>23</c:v>
                </c:pt>
                <c:pt idx="2">
                  <c:v>31</c:v>
                </c:pt>
                <c:pt idx="3">
                  <c:v>38</c:v>
                </c:pt>
                <c:pt idx="4">
                  <c:v>42</c:v>
                </c:pt>
                <c:pt idx="5">
                  <c:v>49</c:v>
                </c:pt>
              </c:numCache>
            </c:numRef>
          </c:xVal>
          <c:yVal>
            <c:numRef>
              <c:f>LI_Example2!$C$3:$C$8</c:f>
              <c:numCache>
                <c:formatCode>"$"#,##0.00</c:formatCode>
                <c:ptCount val="6"/>
                <c:pt idx="0">
                  <c:v>400</c:v>
                </c:pt>
                <c:pt idx="1">
                  <c:v>2116</c:v>
                </c:pt>
                <c:pt idx="2">
                  <c:v>3844</c:v>
                </c:pt>
                <c:pt idx="3">
                  <c:v>5776</c:v>
                </c:pt>
                <c:pt idx="4">
                  <c:v>7056</c:v>
                </c:pt>
                <c:pt idx="5">
                  <c:v>9604</c:v>
                </c:pt>
              </c:numCache>
            </c:numRef>
          </c:yVal>
          <c:smooth val="0"/>
          <c:extLst>
            <c:ext xmlns:c16="http://schemas.microsoft.com/office/drawing/2014/chart" uri="{C3380CC4-5D6E-409C-BE32-E72D297353CC}">
              <c16:uniqueId val="{00000000-5732-46FA-A1DC-D1DC7D2DACC8}"/>
            </c:ext>
          </c:extLst>
        </c:ser>
        <c:dLbls>
          <c:showLegendKey val="0"/>
          <c:showVal val="0"/>
          <c:showCatName val="0"/>
          <c:showSerName val="0"/>
          <c:showPercent val="0"/>
          <c:showBubbleSize val="0"/>
        </c:dLbls>
        <c:axId val="1396570576"/>
        <c:axId val="1155513360"/>
      </c:scatterChart>
      <c:valAx>
        <c:axId val="1396570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Customers Met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13360"/>
        <c:crosses val="autoZero"/>
        <c:crossBetween val="midCat"/>
      </c:valAx>
      <c:valAx>
        <c:axId val="115551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570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Tests I</a:t>
            </a:r>
            <a:r>
              <a:rPr lang="en-US" baseline="0"/>
              <a:t> and II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Charts_Example!$B$1</c:f>
              <c:strCache>
                <c:ptCount val="1"/>
                <c:pt idx="0">
                  <c:v>Test I (Score Out Of 100)</c:v>
                </c:pt>
              </c:strCache>
            </c:strRef>
          </c:tx>
          <c:spPr>
            <a:solidFill>
              <a:schemeClr val="accent1"/>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Charts_Example!$B$2:$B$6</c:f>
              <c:numCache>
                <c:formatCode>General</c:formatCode>
                <c:ptCount val="5"/>
                <c:pt idx="0">
                  <c:v>100</c:v>
                </c:pt>
                <c:pt idx="1">
                  <c:v>98</c:v>
                </c:pt>
                <c:pt idx="2">
                  <c:v>95</c:v>
                </c:pt>
                <c:pt idx="3">
                  <c:v>90</c:v>
                </c:pt>
                <c:pt idx="4">
                  <c:v>85</c:v>
                </c:pt>
              </c:numCache>
            </c:numRef>
          </c:val>
          <c:extLst>
            <c:ext xmlns:c16="http://schemas.microsoft.com/office/drawing/2014/chart" uri="{C3380CC4-5D6E-409C-BE32-E72D297353CC}">
              <c16:uniqueId val="{00000000-BBBA-4250-BA8F-1909D61213AD}"/>
            </c:ext>
          </c:extLst>
        </c:ser>
        <c:ser>
          <c:idx val="1"/>
          <c:order val="1"/>
          <c:tx>
            <c:strRef>
              <c:f>Charts_Example!$C$1</c:f>
              <c:strCache>
                <c:ptCount val="1"/>
                <c:pt idx="0">
                  <c:v>Test II (Score Out Of 100)</c:v>
                </c:pt>
              </c:strCache>
            </c:strRef>
          </c:tx>
          <c:spPr>
            <a:solidFill>
              <a:schemeClr val="accent2"/>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Charts_Example!$C$2:$C$6</c:f>
              <c:numCache>
                <c:formatCode>General</c:formatCode>
                <c:ptCount val="5"/>
                <c:pt idx="0">
                  <c:v>95</c:v>
                </c:pt>
                <c:pt idx="1">
                  <c:v>100</c:v>
                </c:pt>
                <c:pt idx="2">
                  <c:v>90</c:v>
                </c:pt>
                <c:pt idx="3">
                  <c:v>85</c:v>
                </c:pt>
                <c:pt idx="4">
                  <c:v>94</c:v>
                </c:pt>
              </c:numCache>
            </c:numRef>
          </c:val>
          <c:extLst>
            <c:ext xmlns:c16="http://schemas.microsoft.com/office/drawing/2014/chart" uri="{C3380CC4-5D6E-409C-BE32-E72D297353CC}">
              <c16:uniqueId val="{00000001-BBBA-4250-BA8F-1909D61213AD}"/>
            </c:ext>
          </c:extLst>
        </c:ser>
        <c:dLbls>
          <c:showLegendKey val="0"/>
          <c:showVal val="0"/>
          <c:showCatName val="0"/>
          <c:showSerName val="0"/>
          <c:showPercent val="0"/>
          <c:showBubbleSize val="0"/>
        </c:dLbls>
        <c:gapWidth val="150"/>
        <c:shape val="box"/>
        <c:axId val="1666949344"/>
        <c:axId val="1894119648"/>
        <c:axId val="0"/>
      </c:bar3DChart>
      <c:catAx>
        <c:axId val="166694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19648"/>
        <c:crosses val="autoZero"/>
        <c:auto val="1"/>
        <c:lblAlgn val="ctr"/>
        <c:lblOffset val="100"/>
        <c:noMultiLvlLbl val="0"/>
      </c:catAx>
      <c:valAx>
        <c:axId val="189411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Out Of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4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2021-22 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Chart_Column!$B$1</c:f>
              <c:strCache>
                <c:ptCount val="1"/>
                <c:pt idx="0">
                  <c:v>2021- Sales In USD</c:v>
                </c:pt>
              </c:strCache>
            </c:strRef>
          </c:tx>
          <c:spPr>
            <a:solidFill>
              <a:schemeClr val="accent1"/>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Chart_Column!$B$2:$B$7</c:f>
              <c:numCache>
                <c:formatCode>"$"#,##0.00</c:formatCode>
                <c:ptCount val="6"/>
                <c:pt idx="0">
                  <c:v>2100</c:v>
                </c:pt>
                <c:pt idx="1">
                  <c:v>1500</c:v>
                </c:pt>
                <c:pt idx="2">
                  <c:v>3000</c:v>
                </c:pt>
                <c:pt idx="3">
                  <c:v>1900</c:v>
                </c:pt>
                <c:pt idx="4">
                  <c:v>1800</c:v>
                </c:pt>
                <c:pt idx="5">
                  <c:v>2400</c:v>
                </c:pt>
              </c:numCache>
            </c:numRef>
          </c:val>
          <c:extLst>
            <c:ext xmlns:c16="http://schemas.microsoft.com/office/drawing/2014/chart" uri="{C3380CC4-5D6E-409C-BE32-E72D297353CC}">
              <c16:uniqueId val="{00000000-A879-4FC5-B0C0-32A1B88DE480}"/>
            </c:ext>
          </c:extLst>
        </c:ser>
        <c:ser>
          <c:idx val="1"/>
          <c:order val="1"/>
          <c:tx>
            <c:strRef>
              <c:f>Chart_Column!$C$1</c:f>
              <c:strCache>
                <c:ptCount val="1"/>
                <c:pt idx="0">
                  <c:v>2022- Sales In USD</c:v>
                </c:pt>
              </c:strCache>
            </c:strRef>
          </c:tx>
          <c:spPr>
            <a:solidFill>
              <a:schemeClr val="accent2"/>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Chart_Column!$C$2:$C$7</c:f>
              <c:numCache>
                <c:formatCode>"$"#,##0.00</c:formatCode>
                <c:ptCount val="6"/>
                <c:pt idx="0">
                  <c:v>2500</c:v>
                </c:pt>
                <c:pt idx="1">
                  <c:v>2000</c:v>
                </c:pt>
                <c:pt idx="2">
                  <c:v>4000</c:v>
                </c:pt>
                <c:pt idx="3">
                  <c:v>2200</c:v>
                </c:pt>
                <c:pt idx="4">
                  <c:v>1500</c:v>
                </c:pt>
                <c:pt idx="5">
                  <c:v>2900</c:v>
                </c:pt>
              </c:numCache>
            </c:numRef>
          </c:val>
          <c:extLst>
            <c:ext xmlns:c16="http://schemas.microsoft.com/office/drawing/2014/chart" uri="{C3380CC4-5D6E-409C-BE32-E72D297353CC}">
              <c16:uniqueId val="{00000001-A879-4FC5-B0C0-32A1B88DE480}"/>
            </c:ext>
          </c:extLst>
        </c:ser>
        <c:dLbls>
          <c:showLegendKey val="0"/>
          <c:showVal val="0"/>
          <c:showCatName val="0"/>
          <c:showSerName val="0"/>
          <c:showPercent val="0"/>
          <c:showBubbleSize val="0"/>
        </c:dLbls>
        <c:gapWidth val="219"/>
        <c:overlap val="-27"/>
        <c:axId val="2130544976"/>
        <c:axId val="1894139616"/>
      </c:barChart>
      <c:catAx>
        <c:axId val="21305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39616"/>
        <c:crosses val="autoZero"/>
        <c:auto val="1"/>
        <c:lblAlgn val="ctr"/>
        <c:lblOffset val="100"/>
        <c:noMultiLvlLbl val="0"/>
      </c:catAx>
      <c:valAx>
        <c:axId val="18941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4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Decade-wise State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Chart_Line!$B$2</c:f>
              <c:strCache>
                <c:ptCount val="1"/>
                <c:pt idx="0">
                  <c:v>California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Chart_Line!$B$3:$B$7</c:f>
              <c:numCache>
                <c:formatCode>#,##0</c:formatCode>
                <c:ptCount val="5"/>
                <c:pt idx="0">
                  <c:v>23</c:v>
                </c:pt>
                <c:pt idx="1">
                  <c:v>29</c:v>
                </c:pt>
                <c:pt idx="2">
                  <c:v>33</c:v>
                </c:pt>
                <c:pt idx="3">
                  <c:v>37</c:v>
                </c:pt>
                <c:pt idx="4">
                  <c:v>39</c:v>
                </c:pt>
              </c:numCache>
            </c:numRef>
          </c:val>
          <c:smooth val="0"/>
          <c:extLst>
            <c:ext xmlns:c16="http://schemas.microsoft.com/office/drawing/2014/chart" uri="{C3380CC4-5D6E-409C-BE32-E72D297353CC}">
              <c16:uniqueId val="{00000000-DF19-4333-BA2E-717E19D8AC91}"/>
            </c:ext>
          </c:extLst>
        </c:ser>
        <c:ser>
          <c:idx val="1"/>
          <c:order val="1"/>
          <c:tx>
            <c:strRef>
              <c:f>Chart_Line!$C$2</c:f>
              <c:strCache>
                <c:ptCount val="1"/>
                <c:pt idx="0">
                  <c:v>Texas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Chart_Line!$C$3:$C$7</c:f>
              <c:numCache>
                <c:formatCode>#,##0</c:formatCode>
                <c:ptCount val="5"/>
                <c:pt idx="0">
                  <c:v>14</c:v>
                </c:pt>
                <c:pt idx="1">
                  <c:v>17</c:v>
                </c:pt>
                <c:pt idx="2">
                  <c:v>20</c:v>
                </c:pt>
                <c:pt idx="3">
                  <c:v>25</c:v>
                </c:pt>
                <c:pt idx="4">
                  <c:v>29</c:v>
                </c:pt>
              </c:numCache>
            </c:numRef>
          </c:val>
          <c:smooth val="0"/>
          <c:extLst>
            <c:ext xmlns:c16="http://schemas.microsoft.com/office/drawing/2014/chart" uri="{C3380CC4-5D6E-409C-BE32-E72D297353CC}">
              <c16:uniqueId val="{00000001-DF19-4333-BA2E-717E19D8AC91}"/>
            </c:ext>
          </c:extLst>
        </c:ser>
        <c:ser>
          <c:idx val="2"/>
          <c:order val="2"/>
          <c:tx>
            <c:strRef>
              <c:f>Chart_Line!$D$2</c:f>
              <c:strCache>
                <c:ptCount val="1"/>
                <c:pt idx="0">
                  <c:v>Florida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Chart_Line!$D$3:$D$7</c:f>
              <c:numCache>
                <c:formatCode>#,##0</c:formatCode>
                <c:ptCount val="5"/>
                <c:pt idx="0">
                  <c:v>9</c:v>
                </c:pt>
                <c:pt idx="1">
                  <c:v>13</c:v>
                </c:pt>
                <c:pt idx="2">
                  <c:v>16</c:v>
                </c:pt>
                <c:pt idx="3">
                  <c:v>18</c:v>
                </c:pt>
                <c:pt idx="4">
                  <c:v>21</c:v>
                </c:pt>
              </c:numCache>
            </c:numRef>
          </c:val>
          <c:smooth val="0"/>
          <c:extLst>
            <c:ext xmlns:c16="http://schemas.microsoft.com/office/drawing/2014/chart" uri="{C3380CC4-5D6E-409C-BE32-E72D297353CC}">
              <c16:uniqueId val="{00000002-DF19-4333-BA2E-717E19D8AC91}"/>
            </c:ext>
          </c:extLst>
        </c:ser>
        <c:dLbls>
          <c:dLblPos val="t"/>
          <c:showLegendKey val="0"/>
          <c:showVal val="1"/>
          <c:showCatName val="0"/>
          <c:showSerName val="0"/>
          <c:showPercent val="0"/>
          <c:showBubbleSize val="0"/>
        </c:dLbls>
        <c:smooth val="0"/>
        <c:axId val="1739413807"/>
        <c:axId val="1994561183"/>
      </c:lineChart>
      <c:catAx>
        <c:axId val="1739413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61183"/>
        <c:crosses val="autoZero"/>
        <c:auto val="1"/>
        <c:lblAlgn val="ctr"/>
        <c:lblOffset val="100"/>
        <c:noMultiLvlLbl val="0"/>
      </c:catAx>
      <c:valAx>
        <c:axId val="199456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a:t>
                </a:r>
                <a:r>
                  <a:rPr lang="en-US" baseline="0"/>
                  <a:t> in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Pie Chart- </a:t>
            </a:r>
            <a:r>
              <a:rPr lang="en-US"/>
              <a:t>2022 Quarterly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Chart_Pie!$B$1</c:f>
              <c:strCache>
                <c:ptCount val="1"/>
                <c:pt idx="0">
                  <c:v>Sales in USD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E-4243-90F0-158831E2B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E-4243-90F0-158831E2B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FE-4243-90F0-158831E2B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FE-4243-90F0-158831E2B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Chart_Pie!$A$2:$A$5</c:f>
              <c:strCache>
                <c:ptCount val="4"/>
                <c:pt idx="0">
                  <c:v>Q1</c:v>
                </c:pt>
                <c:pt idx="1">
                  <c:v>Q2</c:v>
                </c:pt>
                <c:pt idx="2">
                  <c:v>Q3</c:v>
                </c:pt>
                <c:pt idx="3">
                  <c:v>Q4</c:v>
                </c:pt>
              </c:strCache>
            </c:strRef>
          </c:cat>
          <c:val>
            <c:numRef>
              <c:f>Chart_Pie!$B$2:$B$5</c:f>
              <c:numCache>
                <c:formatCode>"$"#,##0</c:formatCode>
                <c:ptCount val="4"/>
                <c:pt idx="0">
                  <c:v>28000</c:v>
                </c:pt>
                <c:pt idx="1">
                  <c:v>35000</c:v>
                </c:pt>
                <c:pt idx="2">
                  <c:v>42000</c:v>
                </c:pt>
                <c:pt idx="3">
                  <c:v>15000</c:v>
                </c:pt>
              </c:numCache>
            </c:numRef>
          </c:val>
          <c:extLst>
            <c:ext xmlns:c16="http://schemas.microsoft.com/office/drawing/2014/chart" uri="{C3380CC4-5D6E-409C-BE32-E72D297353CC}">
              <c16:uniqueId val="{00000000-C1A0-4D16-A176-51E7DA4D80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Bar Chart- </a:t>
            </a:r>
            <a:r>
              <a:rPr lang="en-US" sz="1200"/>
              <a:t>Monthly</a:t>
            </a:r>
            <a:r>
              <a:rPr lang="en-US" sz="1200" baseline="0"/>
              <a:t> Income, Savings, and Expenses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0"/>
          <c:tx>
            <c:strRef>
              <c:f>Chart_Bar!$D$1</c:f>
              <c:strCache>
                <c:ptCount val="1"/>
                <c:pt idx="0">
                  <c:v>Monthly Expenses in $</c:v>
                </c:pt>
              </c:strCache>
            </c:strRef>
          </c:tx>
          <c:spPr>
            <a:solidFill>
              <a:schemeClr val="accent3"/>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Chart_Bar!$D$2:$D$7</c:f>
              <c:numCache>
                <c:formatCode>"$"#,##0</c:formatCode>
                <c:ptCount val="6"/>
                <c:pt idx="0">
                  <c:v>800</c:v>
                </c:pt>
                <c:pt idx="1">
                  <c:v>1000</c:v>
                </c:pt>
                <c:pt idx="2">
                  <c:v>1100</c:v>
                </c:pt>
                <c:pt idx="3">
                  <c:v>600</c:v>
                </c:pt>
                <c:pt idx="4">
                  <c:v>500</c:v>
                </c:pt>
                <c:pt idx="5">
                  <c:v>1200</c:v>
                </c:pt>
              </c:numCache>
            </c:numRef>
          </c:val>
          <c:extLst>
            <c:ext xmlns:c16="http://schemas.microsoft.com/office/drawing/2014/chart" uri="{C3380CC4-5D6E-409C-BE32-E72D297353CC}">
              <c16:uniqueId val="{00000002-EB75-4D41-8F16-D90891818CD2}"/>
            </c:ext>
          </c:extLst>
        </c:ser>
        <c:ser>
          <c:idx val="1"/>
          <c:order val="1"/>
          <c:tx>
            <c:strRef>
              <c:f>Chart_Bar!$C$1</c:f>
              <c:strCache>
                <c:ptCount val="1"/>
                <c:pt idx="0">
                  <c:v>Monthly Savings in $</c:v>
                </c:pt>
              </c:strCache>
            </c:strRef>
          </c:tx>
          <c:spPr>
            <a:solidFill>
              <a:schemeClr val="accent2"/>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Chart_Bar!$C$2:$C$7</c:f>
              <c:numCache>
                <c:formatCode>"$"#,##0</c:formatCode>
                <c:ptCount val="6"/>
                <c:pt idx="0">
                  <c:v>1000</c:v>
                </c:pt>
                <c:pt idx="1">
                  <c:v>2500</c:v>
                </c:pt>
                <c:pt idx="2">
                  <c:v>500</c:v>
                </c:pt>
                <c:pt idx="3">
                  <c:v>2000</c:v>
                </c:pt>
                <c:pt idx="4">
                  <c:v>1300</c:v>
                </c:pt>
                <c:pt idx="5">
                  <c:v>3000</c:v>
                </c:pt>
              </c:numCache>
            </c:numRef>
          </c:val>
          <c:extLst>
            <c:ext xmlns:c16="http://schemas.microsoft.com/office/drawing/2014/chart" uri="{C3380CC4-5D6E-409C-BE32-E72D297353CC}">
              <c16:uniqueId val="{00000001-EB75-4D41-8F16-D90891818CD2}"/>
            </c:ext>
          </c:extLst>
        </c:ser>
        <c:ser>
          <c:idx val="0"/>
          <c:order val="2"/>
          <c:tx>
            <c:strRef>
              <c:f>Chart_Bar!$B$1</c:f>
              <c:strCache>
                <c:ptCount val="1"/>
                <c:pt idx="0">
                  <c:v>Monthly Income in $</c:v>
                </c:pt>
              </c:strCache>
            </c:strRef>
          </c:tx>
          <c:spPr>
            <a:solidFill>
              <a:schemeClr val="accent1"/>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Chart_Bar!$B$2:$B$7</c:f>
              <c:numCache>
                <c:formatCode>"$"#,##0</c:formatCode>
                <c:ptCount val="6"/>
                <c:pt idx="0">
                  <c:v>5000</c:v>
                </c:pt>
                <c:pt idx="1">
                  <c:v>7500</c:v>
                </c:pt>
                <c:pt idx="2">
                  <c:v>4700</c:v>
                </c:pt>
                <c:pt idx="3">
                  <c:v>6000</c:v>
                </c:pt>
                <c:pt idx="4">
                  <c:v>5400</c:v>
                </c:pt>
                <c:pt idx="5">
                  <c:v>6800</c:v>
                </c:pt>
              </c:numCache>
            </c:numRef>
          </c:val>
          <c:extLst>
            <c:ext xmlns:c16="http://schemas.microsoft.com/office/drawing/2014/chart" uri="{C3380CC4-5D6E-409C-BE32-E72D297353CC}">
              <c16:uniqueId val="{00000000-EB75-4D41-8F16-D90891818CD2}"/>
            </c:ext>
          </c:extLst>
        </c:ser>
        <c:dLbls>
          <c:showLegendKey val="0"/>
          <c:showVal val="0"/>
          <c:showCatName val="0"/>
          <c:showSerName val="0"/>
          <c:showPercent val="0"/>
          <c:showBubbleSize val="0"/>
        </c:dLbls>
        <c:gapWidth val="182"/>
        <c:axId val="1724375087"/>
        <c:axId val="1835524751"/>
      </c:barChart>
      <c:catAx>
        <c:axId val="17243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24751"/>
        <c:crosses val="autoZero"/>
        <c:auto val="1"/>
        <c:lblAlgn val="ctr"/>
        <c:lblOffset val="100"/>
        <c:noMultiLvlLbl val="0"/>
      </c:catAx>
      <c:valAx>
        <c:axId val="1835524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3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Area Chart- </a:t>
            </a:r>
            <a:r>
              <a:rPr lang="en-US"/>
              <a:t>Science</a:t>
            </a:r>
            <a:r>
              <a:rPr lang="en-US" baseline="0"/>
              <a:t> </a:t>
            </a:r>
            <a:r>
              <a:rPr lang="en-US"/>
              <a:t>Subjects'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Chart_Area!$B$2</c:f>
              <c:strCache>
                <c:ptCount val="1"/>
                <c:pt idx="0">
                  <c:v>Physics</c:v>
                </c:pt>
              </c:strCache>
            </c:strRef>
          </c:tx>
          <c:spPr>
            <a:solidFill>
              <a:schemeClr val="accent1"/>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Chart_Area!$B$3:$B$7</c:f>
              <c:numCache>
                <c:formatCode>#,##0</c:formatCode>
                <c:ptCount val="5"/>
                <c:pt idx="0">
                  <c:v>50</c:v>
                </c:pt>
                <c:pt idx="1">
                  <c:v>44</c:v>
                </c:pt>
                <c:pt idx="2">
                  <c:v>47</c:v>
                </c:pt>
                <c:pt idx="3">
                  <c:v>35</c:v>
                </c:pt>
                <c:pt idx="4">
                  <c:v>39</c:v>
                </c:pt>
              </c:numCache>
            </c:numRef>
          </c:val>
          <c:extLst>
            <c:ext xmlns:c16="http://schemas.microsoft.com/office/drawing/2014/chart" uri="{C3380CC4-5D6E-409C-BE32-E72D297353CC}">
              <c16:uniqueId val="{00000000-C493-454B-8E43-119BB5904305}"/>
            </c:ext>
          </c:extLst>
        </c:ser>
        <c:ser>
          <c:idx val="1"/>
          <c:order val="1"/>
          <c:tx>
            <c:strRef>
              <c:f>Chart_Area!$C$2</c:f>
              <c:strCache>
                <c:ptCount val="1"/>
                <c:pt idx="0">
                  <c:v>Chemistry</c:v>
                </c:pt>
              </c:strCache>
            </c:strRef>
          </c:tx>
          <c:spPr>
            <a:solidFill>
              <a:schemeClr val="accent2"/>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Chart_Area!$C$3:$C$7</c:f>
              <c:numCache>
                <c:formatCode>#,##0</c:formatCode>
                <c:ptCount val="5"/>
                <c:pt idx="0">
                  <c:v>45</c:v>
                </c:pt>
                <c:pt idx="1">
                  <c:v>40</c:v>
                </c:pt>
                <c:pt idx="2">
                  <c:v>41</c:v>
                </c:pt>
                <c:pt idx="3">
                  <c:v>30</c:v>
                </c:pt>
                <c:pt idx="4">
                  <c:v>29</c:v>
                </c:pt>
              </c:numCache>
            </c:numRef>
          </c:val>
          <c:extLst>
            <c:ext xmlns:c16="http://schemas.microsoft.com/office/drawing/2014/chart" uri="{C3380CC4-5D6E-409C-BE32-E72D297353CC}">
              <c16:uniqueId val="{00000001-C493-454B-8E43-119BB5904305}"/>
            </c:ext>
          </c:extLst>
        </c:ser>
        <c:ser>
          <c:idx val="2"/>
          <c:order val="2"/>
          <c:tx>
            <c:strRef>
              <c:f>Chart_Area!$D$2</c:f>
              <c:strCache>
                <c:ptCount val="1"/>
                <c:pt idx="0">
                  <c:v>Biology</c:v>
                </c:pt>
              </c:strCache>
            </c:strRef>
          </c:tx>
          <c:spPr>
            <a:solidFill>
              <a:schemeClr val="accent3"/>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Chart_Area!$D$3:$D$7</c:f>
              <c:numCache>
                <c:formatCode>#,##0</c:formatCode>
                <c:ptCount val="5"/>
                <c:pt idx="0">
                  <c:v>38</c:v>
                </c:pt>
                <c:pt idx="1">
                  <c:v>35</c:v>
                </c:pt>
                <c:pt idx="2">
                  <c:v>40</c:v>
                </c:pt>
                <c:pt idx="3">
                  <c:v>25</c:v>
                </c:pt>
                <c:pt idx="4">
                  <c:v>21</c:v>
                </c:pt>
              </c:numCache>
            </c:numRef>
          </c:val>
          <c:extLst>
            <c:ext xmlns:c16="http://schemas.microsoft.com/office/drawing/2014/chart" uri="{C3380CC4-5D6E-409C-BE32-E72D297353CC}">
              <c16:uniqueId val="{00000002-C493-454B-8E43-119BB5904305}"/>
            </c:ext>
          </c:extLst>
        </c:ser>
        <c:dLbls>
          <c:showLegendKey val="0"/>
          <c:showVal val="0"/>
          <c:showCatName val="0"/>
          <c:showSerName val="0"/>
          <c:showPercent val="0"/>
          <c:showBubbleSize val="0"/>
        </c:dLbls>
        <c:axId val="1668490143"/>
        <c:axId val="1835533903"/>
      </c:areaChart>
      <c:catAx>
        <c:axId val="16684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33903"/>
        <c:crosses val="autoZero"/>
        <c:auto val="1"/>
        <c:lblAlgn val="ctr"/>
        <c:lblOffset val="100"/>
        <c:noMultiLvlLbl val="0"/>
      </c:catAx>
      <c:valAx>
        <c:axId val="183553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r>
                  <a:rPr lang="en-US" baseline="0"/>
                  <a:t> </a:t>
                </a:r>
                <a:r>
                  <a:rPr lang="en-US"/>
                  <a:t>Socre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901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Hours Studied</a:t>
            </a:r>
            <a:r>
              <a:rPr lang="en-US" baseline="0"/>
              <a:t> vs Test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Chart_Scatter!$B$1</c:f>
              <c:strCache>
                <c:ptCount val="1"/>
                <c:pt idx="0">
                  <c:v>Test Score Out Of 100</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Chart_Scatter!$A$2:$A$11</c:f>
              <c:numCache>
                <c:formatCode>General</c:formatCode>
                <c:ptCount val="10"/>
                <c:pt idx="0">
                  <c:v>10</c:v>
                </c:pt>
                <c:pt idx="1">
                  <c:v>13</c:v>
                </c:pt>
                <c:pt idx="2">
                  <c:v>5</c:v>
                </c:pt>
                <c:pt idx="3">
                  <c:v>11</c:v>
                </c:pt>
                <c:pt idx="4">
                  <c:v>14</c:v>
                </c:pt>
                <c:pt idx="5">
                  <c:v>9</c:v>
                </c:pt>
                <c:pt idx="6">
                  <c:v>7</c:v>
                </c:pt>
                <c:pt idx="7">
                  <c:v>15</c:v>
                </c:pt>
                <c:pt idx="8">
                  <c:v>12</c:v>
                </c:pt>
                <c:pt idx="9">
                  <c:v>8</c:v>
                </c:pt>
              </c:numCache>
            </c:numRef>
          </c:xVal>
          <c:yVal>
            <c:numRef>
              <c:f>Chart_Scatter!$B$2:$B$11</c:f>
              <c:numCache>
                <c:formatCode>General</c:formatCode>
                <c:ptCount val="10"/>
                <c:pt idx="0">
                  <c:v>65</c:v>
                </c:pt>
                <c:pt idx="1">
                  <c:v>85</c:v>
                </c:pt>
                <c:pt idx="2">
                  <c:v>45</c:v>
                </c:pt>
                <c:pt idx="3">
                  <c:v>70</c:v>
                </c:pt>
                <c:pt idx="4">
                  <c:v>90</c:v>
                </c:pt>
                <c:pt idx="5">
                  <c:v>59</c:v>
                </c:pt>
                <c:pt idx="6">
                  <c:v>50</c:v>
                </c:pt>
                <c:pt idx="7">
                  <c:v>99</c:v>
                </c:pt>
                <c:pt idx="8">
                  <c:v>76</c:v>
                </c:pt>
                <c:pt idx="9">
                  <c:v>53</c:v>
                </c:pt>
              </c:numCache>
            </c:numRef>
          </c:yVal>
          <c:smooth val="0"/>
          <c:extLst>
            <c:ext xmlns:c16="http://schemas.microsoft.com/office/drawing/2014/chart" uri="{C3380CC4-5D6E-409C-BE32-E72D297353CC}">
              <c16:uniqueId val="{00000000-B184-4568-B9E6-70867F232D27}"/>
            </c:ext>
          </c:extLst>
        </c:ser>
        <c:dLbls>
          <c:showLegendKey val="0"/>
          <c:showVal val="0"/>
          <c:showCatName val="0"/>
          <c:showSerName val="0"/>
          <c:showPercent val="0"/>
          <c:showBubbleSize val="0"/>
        </c:dLbls>
        <c:axId val="1739396607"/>
        <c:axId val="1994513343"/>
      </c:scatterChart>
      <c:valAx>
        <c:axId val="1739396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3343"/>
        <c:crosses val="autoZero"/>
        <c:crossBetween val="midCat"/>
      </c:valAx>
      <c:valAx>
        <c:axId val="199451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9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Stock Chart- Daily Temperature Fluctuations </a:t>
            </a:r>
            <a:endParaRPr lang="en-US" sz="11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Chart_Stock!$B$2</c:f>
              <c:strCache>
                <c:ptCount val="1"/>
                <c:pt idx="0">
                  <c:v>High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Chart_Stock!$B$3:$B$7</c:f>
              <c:numCache>
                <c:formatCode>General</c:formatCode>
                <c:ptCount val="5"/>
                <c:pt idx="0">
                  <c:v>36</c:v>
                </c:pt>
                <c:pt idx="1">
                  <c:v>34</c:v>
                </c:pt>
                <c:pt idx="2">
                  <c:v>31</c:v>
                </c:pt>
                <c:pt idx="3">
                  <c:v>35</c:v>
                </c:pt>
                <c:pt idx="4">
                  <c:v>32</c:v>
                </c:pt>
              </c:numCache>
            </c:numRef>
          </c:val>
          <c:smooth val="0"/>
          <c:extLst>
            <c:ext xmlns:c16="http://schemas.microsoft.com/office/drawing/2014/chart" uri="{C3380CC4-5D6E-409C-BE32-E72D297353CC}">
              <c16:uniqueId val="{00000000-4E4B-489C-8D02-7F275D424316}"/>
            </c:ext>
          </c:extLst>
        </c:ser>
        <c:ser>
          <c:idx val="1"/>
          <c:order val="1"/>
          <c:tx>
            <c:strRef>
              <c:f>Chart_Stock!$C$2</c:f>
              <c:strCache>
                <c:ptCount val="1"/>
                <c:pt idx="0">
                  <c:v>Low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Chart_Stock!$C$3:$C$7</c:f>
              <c:numCache>
                <c:formatCode>General</c:formatCode>
                <c:ptCount val="5"/>
                <c:pt idx="0">
                  <c:v>22</c:v>
                </c:pt>
                <c:pt idx="1">
                  <c:v>21</c:v>
                </c:pt>
                <c:pt idx="2">
                  <c:v>19</c:v>
                </c:pt>
                <c:pt idx="3">
                  <c:v>24</c:v>
                </c:pt>
                <c:pt idx="4">
                  <c:v>20</c:v>
                </c:pt>
              </c:numCache>
            </c:numRef>
          </c:val>
          <c:smooth val="0"/>
          <c:extLst>
            <c:ext xmlns:c16="http://schemas.microsoft.com/office/drawing/2014/chart" uri="{C3380CC4-5D6E-409C-BE32-E72D297353CC}">
              <c16:uniqueId val="{00000001-4E4B-489C-8D02-7F275D424316}"/>
            </c:ext>
          </c:extLst>
        </c:ser>
        <c:ser>
          <c:idx val="2"/>
          <c:order val="2"/>
          <c:tx>
            <c:strRef>
              <c:f>Chart_Stock!$D$2</c:f>
              <c:strCache>
                <c:ptCount val="1"/>
                <c:pt idx="0">
                  <c:v>Average Temperature</c:v>
                </c:pt>
              </c:strCache>
            </c:strRef>
          </c:tx>
          <c:spPr>
            <a:ln w="19050" cap="rnd">
              <a:noFill/>
              <a:round/>
            </a:ln>
            <a:effectLst/>
          </c:spPr>
          <c:marker>
            <c:symbol val="dash"/>
            <c:size val="5"/>
            <c:spPr>
              <a:solidFill>
                <a:schemeClr val="tx1"/>
              </a:solidFill>
              <a:ln w="9525">
                <a:solidFill>
                  <a:schemeClr val="tx1"/>
                </a:solidFill>
              </a:ln>
              <a:effectLst/>
            </c:spPr>
          </c:marker>
          <c:cat>
            <c:numRef>
              <c:f>Chart_Stock!$A$3:$A$7</c:f>
              <c:numCache>
                <c:formatCode>d\-mmm</c:formatCode>
                <c:ptCount val="5"/>
                <c:pt idx="0">
                  <c:v>44723</c:v>
                </c:pt>
                <c:pt idx="1">
                  <c:v>44724</c:v>
                </c:pt>
                <c:pt idx="2">
                  <c:v>44725</c:v>
                </c:pt>
                <c:pt idx="3">
                  <c:v>44726</c:v>
                </c:pt>
                <c:pt idx="4">
                  <c:v>44727</c:v>
                </c:pt>
              </c:numCache>
            </c:numRef>
          </c:cat>
          <c:val>
            <c:numRef>
              <c:f>Chart_Stock!$D$3:$D$7</c:f>
              <c:numCache>
                <c:formatCode>General</c:formatCode>
                <c:ptCount val="5"/>
                <c:pt idx="0">
                  <c:v>32</c:v>
                </c:pt>
                <c:pt idx="1">
                  <c:v>34</c:v>
                </c:pt>
                <c:pt idx="2">
                  <c:v>30</c:v>
                </c:pt>
                <c:pt idx="3">
                  <c:v>33</c:v>
                </c:pt>
                <c:pt idx="4">
                  <c:v>34</c:v>
                </c:pt>
              </c:numCache>
            </c:numRef>
          </c:val>
          <c:smooth val="0"/>
          <c:extLst>
            <c:ext xmlns:c16="http://schemas.microsoft.com/office/drawing/2014/chart" uri="{C3380CC4-5D6E-409C-BE32-E72D297353CC}">
              <c16:uniqueId val="{00000002-4E4B-489C-8D02-7F275D4243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932534191"/>
        <c:axId val="1994510015"/>
      </c:stockChart>
      <c:dateAx>
        <c:axId val="1932534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0015"/>
        <c:crosses val="autoZero"/>
        <c:auto val="1"/>
        <c:lblOffset val="100"/>
        <c:baseTimeUnit val="days"/>
      </c:dateAx>
      <c:valAx>
        <c:axId val="199451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Daily Temperature in °C </a:t>
                </a:r>
                <a:endParaRPr lang="en-US" sz="400">
                  <a:effectLst/>
                </a:endParaRPr>
              </a:p>
            </c:rich>
          </c:tx>
          <c:layout>
            <c:manualLayout>
              <c:xMode val="edge"/>
              <c:yMode val="edge"/>
              <c:x val="3.0555555555555555E-2"/>
              <c:y val="0.218009259259259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53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Radar</a:t>
            </a:r>
            <a:r>
              <a:rPr lang="en-US" baseline="0"/>
              <a:t> Chart- Customer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Chart_Radar!$B$1</c:f>
              <c:strCache>
                <c:ptCount val="1"/>
                <c:pt idx="0">
                  <c:v>Customer 1 Ratings</c:v>
                </c:pt>
              </c:strCache>
            </c:strRef>
          </c:tx>
          <c:spPr>
            <a:ln w="28575" cap="rnd">
              <a:solidFill>
                <a:schemeClr val="accent1"/>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Chart_Radar!$B$2:$B$6</c:f>
              <c:numCache>
                <c:formatCode>General</c:formatCode>
                <c:ptCount val="5"/>
                <c:pt idx="0">
                  <c:v>4.5</c:v>
                </c:pt>
                <c:pt idx="1">
                  <c:v>5</c:v>
                </c:pt>
                <c:pt idx="2">
                  <c:v>4.7</c:v>
                </c:pt>
                <c:pt idx="3">
                  <c:v>4.3</c:v>
                </c:pt>
                <c:pt idx="4">
                  <c:v>4.5999999999999996</c:v>
                </c:pt>
              </c:numCache>
            </c:numRef>
          </c:val>
          <c:extLst>
            <c:ext xmlns:c16="http://schemas.microsoft.com/office/drawing/2014/chart" uri="{C3380CC4-5D6E-409C-BE32-E72D297353CC}">
              <c16:uniqueId val="{00000000-806D-4FA7-96BD-91364B2FF8CD}"/>
            </c:ext>
          </c:extLst>
        </c:ser>
        <c:ser>
          <c:idx val="1"/>
          <c:order val="1"/>
          <c:tx>
            <c:strRef>
              <c:f>Chart_Radar!$C$1</c:f>
              <c:strCache>
                <c:ptCount val="1"/>
                <c:pt idx="0">
                  <c:v>Customer 2 Ratings</c:v>
                </c:pt>
              </c:strCache>
            </c:strRef>
          </c:tx>
          <c:spPr>
            <a:ln w="28575" cap="rnd">
              <a:solidFill>
                <a:schemeClr val="accent2"/>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Chart_Radar!$C$2:$C$6</c:f>
              <c:numCache>
                <c:formatCode>General</c:formatCode>
                <c:ptCount val="5"/>
                <c:pt idx="0">
                  <c:v>4.0999999999999996</c:v>
                </c:pt>
                <c:pt idx="1">
                  <c:v>4.2</c:v>
                </c:pt>
                <c:pt idx="2">
                  <c:v>4.4000000000000004</c:v>
                </c:pt>
                <c:pt idx="3">
                  <c:v>3.5</c:v>
                </c:pt>
                <c:pt idx="4">
                  <c:v>4.5</c:v>
                </c:pt>
              </c:numCache>
            </c:numRef>
          </c:val>
          <c:extLst>
            <c:ext xmlns:c16="http://schemas.microsoft.com/office/drawing/2014/chart" uri="{C3380CC4-5D6E-409C-BE32-E72D297353CC}">
              <c16:uniqueId val="{00000001-806D-4FA7-96BD-91364B2FF8CD}"/>
            </c:ext>
          </c:extLst>
        </c:ser>
        <c:ser>
          <c:idx val="2"/>
          <c:order val="2"/>
          <c:tx>
            <c:strRef>
              <c:f>Chart_Radar!$D$1</c:f>
              <c:strCache>
                <c:ptCount val="1"/>
                <c:pt idx="0">
                  <c:v>Customer 3 Ratings</c:v>
                </c:pt>
              </c:strCache>
            </c:strRef>
          </c:tx>
          <c:spPr>
            <a:ln w="28575" cap="rnd">
              <a:solidFill>
                <a:schemeClr val="accent3"/>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Chart_Radar!$D$2:$D$6</c:f>
              <c:numCache>
                <c:formatCode>General</c:formatCode>
                <c:ptCount val="5"/>
                <c:pt idx="0">
                  <c:v>4.5</c:v>
                </c:pt>
                <c:pt idx="1">
                  <c:v>4.9000000000000004</c:v>
                </c:pt>
                <c:pt idx="2">
                  <c:v>4.5999999999999996</c:v>
                </c:pt>
                <c:pt idx="3">
                  <c:v>3</c:v>
                </c:pt>
                <c:pt idx="4">
                  <c:v>4.8</c:v>
                </c:pt>
              </c:numCache>
            </c:numRef>
          </c:val>
          <c:extLst>
            <c:ext xmlns:c16="http://schemas.microsoft.com/office/drawing/2014/chart" uri="{C3380CC4-5D6E-409C-BE32-E72D297353CC}">
              <c16:uniqueId val="{00000002-806D-4FA7-96BD-91364B2FF8CD}"/>
            </c:ext>
          </c:extLst>
        </c:ser>
        <c:dLbls>
          <c:showLegendKey val="0"/>
          <c:showVal val="0"/>
          <c:showCatName val="0"/>
          <c:showSerName val="0"/>
          <c:showPercent val="0"/>
          <c:showBubbleSize val="0"/>
        </c:dLbls>
        <c:axId val="1668514143"/>
        <c:axId val="1994587807"/>
      </c:radarChart>
      <c:catAx>
        <c:axId val="166851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87807"/>
        <c:crosses val="autoZero"/>
        <c:auto val="1"/>
        <c:lblAlgn val="ctr"/>
        <c:lblOffset val="100"/>
        <c:noMultiLvlLbl val="0"/>
      </c:catAx>
      <c:valAx>
        <c:axId val="199458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4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3'!$B$7</c:f>
              <c:strCache>
                <c:ptCount val="1"/>
                <c:pt idx="0">
                  <c:v>Weibull Cumulative Distribution Function</c:v>
                </c:pt>
              </c:strCache>
            </c:strRef>
          </c:tx>
          <c:spPr>
            <a:ln w="19050" cap="rnd">
              <a:solidFill>
                <a:schemeClr val="accent1"/>
              </a:solidFill>
              <a:round/>
            </a:ln>
            <a:effectLst/>
          </c:spPr>
          <c:marker>
            <c:symbol val="none"/>
          </c:marker>
          <c:xVal>
            <c:numRef>
              <c:f>'WD_Example 3'!$A$8:$A$23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3'!$B$8:$B$23</c:f>
              <c:numCache>
                <c:formatCode>General</c:formatCode>
                <c:ptCount val="16"/>
                <c:pt idx="0">
                  <c:v>0</c:v>
                </c:pt>
                <c:pt idx="1">
                  <c:v>3.9210560847676795E-2</c:v>
                </c:pt>
                <c:pt idx="2">
                  <c:v>0.14785621103378868</c:v>
                </c:pt>
                <c:pt idx="3">
                  <c:v>0.30232367392896892</c:v>
                </c:pt>
                <c:pt idx="4">
                  <c:v>0.47270757595695145</c:v>
                </c:pt>
                <c:pt idx="5">
                  <c:v>0.63212055882855767</c:v>
                </c:pt>
                <c:pt idx="6">
                  <c:v>0.76307224131787821</c:v>
                </c:pt>
                <c:pt idx="7">
                  <c:v>0.85914157907895494</c:v>
                </c:pt>
                <c:pt idx="8">
                  <c:v>0.92269525955670029</c:v>
                </c:pt>
                <c:pt idx="9">
                  <c:v>0.9608361049010129</c:v>
                </c:pt>
                <c:pt idx="10">
                  <c:v>0.98168436111126578</c:v>
                </c:pt>
                <c:pt idx="11">
                  <c:v>0.99209294594840658</c:v>
                </c:pt>
                <c:pt idx="12">
                  <c:v>0.99684888840155561</c:v>
                </c:pt>
                <c:pt idx="13">
                  <c:v>0.99884077082609546</c:v>
                </c:pt>
                <c:pt idx="14">
                  <c:v>0.99960633095934492</c:v>
                </c:pt>
                <c:pt idx="15">
                  <c:v>0.99987659019591335</c:v>
                </c:pt>
              </c:numCache>
            </c:numRef>
          </c:yVal>
          <c:smooth val="1"/>
          <c:extLst>
            <c:ext xmlns:c16="http://schemas.microsoft.com/office/drawing/2014/chart" uri="{C3380CC4-5D6E-409C-BE32-E72D297353CC}">
              <c16:uniqueId val="{00000000-5FC0-48EA-9253-8C2AC3FD3FF2}"/>
            </c:ext>
          </c:extLst>
        </c:ser>
        <c:dLbls>
          <c:showLegendKey val="0"/>
          <c:showVal val="0"/>
          <c:showCatName val="0"/>
          <c:showSerName val="0"/>
          <c:showPercent val="0"/>
          <c:showBubbleSize val="0"/>
        </c:dLbls>
        <c:axId val="307479727"/>
        <c:axId val="335974031"/>
      </c:scatterChart>
      <c:valAx>
        <c:axId val="307479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74031"/>
        <c:crosses val="autoZero"/>
        <c:crossBetween val="midCat"/>
      </c:valAx>
      <c:valAx>
        <c:axId val="33597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Cumulative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79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3_1'!$B$7</c:f>
              <c:strCache>
                <c:ptCount val="1"/>
                <c:pt idx="0">
                  <c:v>Weibull Probability Density Function</c:v>
                </c:pt>
              </c:strCache>
            </c:strRef>
          </c:tx>
          <c:spPr>
            <a:ln w="19050" cap="rnd">
              <a:solidFill>
                <a:schemeClr val="accent1"/>
              </a:solidFill>
              <a:round/>
            </a:ln>
            <a:effectLst/>
          </c:spPr>
          <c:marker>
            <c:symbol val="none"/>
          </c:marker>
          <c:xVal>
            <c:numRef>
              <c:f>'WD_Example 3_1'!$A$8:$A$23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3_1'!$B$8:$B$23</c:f>
              <c:numCache>
                <c:formatCode>General</c:formatCode>
                <c:ptCount val="16"/>
                <c:pt idx="0">
                  <c:v>0</c:v>
                </c:pt>
                <c:pt idx="1">
                  <c:v>0.38431577566092928</c:v>
                </c:pt>
                <c:pt idx="2">
                  <c:v>0.68171503117296917</c:v>
                </c:pt>
                <c:pt idx="3">
                  <c:v>0.83721159128523726</c:v>
                </c:pt>
                <c:pt idx="4">
                  <c:v>0.8436678784688777</c:v>
                </c:pt>
                <c:pt idx="5">
                  <c:v>0.73575888234288467</c:v>
                </c:pt>
                <c:pt idx="6">
                  <c:v>0.56862662083709226</c:v>
                </c:pt>
                <c:pt idx="7">
                  <c:v>0.394403578578926</c:v>
                </c:pt>
                <c:pt idx="8">
                  <c:v>0.24737516941855908</c:v>
                </c:pt>
                <c:pt idx="9">
                  <c:v>0.14099002235635344</c:v>
                </c:pt>
                <c:pt idx="10">
                  <c:v>7.3262555554936715E-2</c:v>
                </c:pt>
                <c:pt idx="11">
                  <c:v>3.4791037827011116E-2</c:v>
                </c:pt>
                <c:pt idx="12">
                  <c:v>1.5125335672533331E-2</c:v>
                </c:pt>
                <c:pt idx="13">
                  <c:v>6.0279917043038755E-3</c:v>
                </c:pt>
                <c:pt idx="14">
                  <c:v>2.2045466276684419E-3</c:v>
                </c:pt>
                <c:pt idx="15">
                  <c:v>7.4045882452007607E-4</c:v>
                </c:pt>
              </c:numCache>
            </c:numRef>
          </c:yVal>
          <c:smooth val="1"/>
          <c:extLst>
            <c:ext xmlns:c16="http://schemas.microsoft.com/office/drawing/2014/chart" uri="{C3380CC4-5D6E-409C-BE32-E72D297353CC}">
              <c16:uniqueId val="{00000000-A5CD-4CAB-95BA-5101616B13F6}"/>
            </c:ext>
          </c:extLst>
        </c:ser>
        <c:dLbls>
          <c:showLegendKey val="0"/>
          <c:showVal val="0"/>
          <c:showCatName val="0"/>
          <c:showSerName val="0"/>
          <c:showPercent val="0"/>
          <c:showBubbleSize val="0"/>
        </c:dLbls>
        <c:axId val="292750751"/>
        <c:axId val="335967375"/>
      </c:scatterChart>
      <c:valAx>
        <c:axId val="292750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67375"/>
        <c:crosses val="autoZero"/>
        <c:crossBetween val="midCat"/>
      </c:valAx>
      <c:valAx>
        <c:axId val="33596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Probability Density</a:t>
                </a:r>
                <a:r>
                  <a:rPr lang="en-US" baseline="0"/>
                  <a:t>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50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Break-Even</a:t>
            </a:r>
            <a:r>
              <a:rPr lang="en-US" b="1" baseline="0"/>
              <a:t> Analysis Chart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'Break-Even_Example'!$B$6:$B$15</c:f>
              <c:numCache>
                <c:formatCode>"$"#,##0</c:formatCode>
                <c:ptCount val="10"/>
                <c:pt idx="0">
                  <c:v>2500</c:v>
                </c:pt>
                <c:pt idx="1">
                  <c:v>3000</c:v>
                </c:pt>
                <c:pt idx="2">
                  <c:v>3500</c:v>
                </c:pt>
                <c:pt idx="3">
                  <c:v>4000</c:v>
                </c:pt>
                <c:pt idx="4">
                  <c:v>4500</c:v>
                </c:pt>
                <c:pt idx="5">
                  <c:v>5000</c:v>
                </c:pt>
                <c:pt idx="6">
                  <c:v>5500</c:v>
                </c:pt>
                <c:pt idx="7">
                  <c:v>6000</c:v>
                </c:pt>
                <c:pt idx="8">
                  <c:v>6500</c:v>
                </c:pt>
                <c:pt idx="9">
                  <c:v>7000</c:v>
                </c:pt>
              </c:numCache>
            </c:numRef>
          </c:val>
          <c:smooth val="0"/>
          <c:extLst>
            <c:ext xmlns:c16="http://schemas.microsoft.com/office/drawing/2014/chart" uri="{C3380CC4-5D6E-409C-BE32-E72D297353CC}">
              <c16:uniqueId val="{00000000-FD9D-4A1B-A9B6-37E2CDC7CF98}"/>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'Break-Even_Example'!$C$6:$C$15</c:f>
              <c:numCache>
                <c:formatCode>"$"#,##0</c:formatCode>
                <c:ptCount val="10"/>
                <c:pt idx="0">
                  <c:v>900</c:v>
                </c:pt>
                <c:pt idx="1">
                  <c:v>1800</c:v>
                </c:pt>
                <c:pt idx="2">
                  <c:v>2700</c:v>
                </c:pt>
                <c:pt idx="3">
                  <c:v>3600</c:v>
                </c:pt>
                <c:pt idx="4">
                  <c:v>4500</c:v>
                </c:pt>
                <c:pt idx="5">
                  <c:v>5400</c:v>
                </c:pt>
                <c:pt idx="6">
                  <c:v>6300</c:v>
                </c:pt>
                <c:pt idx="7">
                  <c:v>7200</c:v>
                </c:pt>
                <c:pt idx="8">
                  <c:v>8100</c:v>
                </c:pt>
                <c:pt idx="9">
                  <c:v>9000</c:v>
                </c:pt>
              </c:numCache>
            </c:numRef>
          </c:val>
          <c:smooth val="0"/>
          <c:extLst>
            <c:ext xmlns:c16="http://schemas.microsoft.com/office/drawing/2014/chart" uri="{C3380CC4-5D6E-409C-BE32-E72D297353CC}">
              <c16:uniqueId val="{00000001-FD9D-4A1B-A9B6-37E2CDC7CF98}"/>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'Break-Even_Example'!$D$6:$D$15</c:f>
              <c:numCache>
                <c:formatCode>"$"#,##0</c:formatCode>
                <c:ptCount val="10"/>
                <c:pt idx="0">
                  <c:v>-1600</c:v>
                </c:pt>
                <c:pt idx="1">
                  <c:v>-1200</c:v>
                </c:pt>
                <c:pt idx="2">
                  <c:v>-800</c:v>
                </c:pt>
                <c:pt idx="3">
                  <c:v>-400</c:v>
                </c:pt>
                <c:pt idx="4">
                  <c:v>0</c:v>
                </c:pt>
                <c:pt idx="5">
                  <c:v>400</c:v>
                </c:pt>
                <c:pt idx="6">
                  <c:v>800</c:v>
                </c:pt>
                <c:pt idx="7">
                  <c:v>1200</c:v>
                </c:pt>
                <c:pt idx="8">
                  <c:v>1600</c:v>
                </c:pt>
                <c:pt idx="9">
                  <c:v>2000</c:v>
                </c:pt>
              </c:numCache>
            </c:numRef>
          </c:val>
          <c:smooth val="0"/>
          <c:extLst>
            <c:ext xmlns:c16="http://schemas.microsoft.com/office/drawing/2014/chart" uri="{C3380CC4-5D6E-409C-BE32-E72D297353CC}">
              <c16:uniqueId val="{00000002-FD9D-4A1B-A9B6-37E2CDC7CF98}"/>
            </c:ext>
          </c:extLst>
        </c:ser>
        <c:dLbls>
          <c:showLegendKey val="0"/>
          <c:showVal val="0"/>
          <c:showCatName val="0"/>
          <c:showSerName val="0"/>
          <c:showPercent val="0"/>
          <c:showBubbleSize val="0"/>
        </c:dLbls>
        <c:marker val="1"/>
        <c:smooth val="0"/>
        <c:axId val="1141802495"/>
        <c:axId val="1144697839"/>
      </c:lineChart>
      <c:catAx>
        <c:axId val="114180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97839"/>
        <c:crosses val="autoZero"/>
        <c:auto val="1"/>
        <c:lblAlgn val="ctr"/>
        <c:lblOffset val="100"/>
        <c:noMultiLvlLbl val="0"/>
      </c:catAx>
      <c:valAx>
        <c:axId val="1144697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80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Break-Even Analysis</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2'!$B$6:$B$15</c:f>
              <c:numCache>
                <c:formatCode>"$"#,##0</c:formatCode>
                <c:ptCount val="10"/>
                <c:pt idx="0">
                  <c:v>5400</c:v>
                </c:pt>
                <c:pt idx="1">
                  <c:v>5400</c:v>
                </c:pt>
                <c:pt idx="2">
                  <c:v>5400</c:v>
                </c:pt>
                <c:pt idx="3">
                  <c:v>5400</c:v>
                </c:pt>
                <c:pt idx="4">
                  <c:v>5400</c:v>
                </c:pt>
                <c:pt idx="5">
                  <c:v>5400</c:v>
                </c:pt>
                <c:pt idx="6">
                  <c:v>5400</c:v>
                </c:pt>
                <c:pt idx="7">
                  <c:v>5400</c:v>
                </c:pt>
                <c:pt idx="8">
                  <c:v>5400</c:v>
                </c:pt>
                <c:pt idx="9">
                  <c:v>5400</c:v>
                </c:pt>
              </c:numCache>
            </c:numRef>
          </c:val>
          <c:smooth val="0"/>
          <c:extLst>
            <c:ext xmlns:c16="http://schemas.microsoft.com/office/drawing/2014/chart" uri="{C3380CC4-5D6E-409C-BE32-E72D297353CC}">
              <c16:uniqueId val="{00000000-B5FA-4990-9F54-18FAF03E9A7F}"/>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2'!$C$6:$C$15</c:f>
              <c:numCache>
                <c:formatCode>"$"#,##0</c:formatCode>
                <c:ptCount val="10"/>
                <c:pt idx="0">
                  <c:v>1350</c:v>
                </c:pt>
                <c:pt idx="1">
                  <c:v>2700</c:v>
                </c:pt>
                <c:pt idx="2">
                  <c:v>4050</c:v>
                </c:pt>
                <c:pt idx="3">
                  <c:v>5400</c:v>
                </c:pt>
                <c:pt idx="4">
                  <c:v>6750</c:v>
                </c:pt>
                <c:pt idx="5">
                  <c:v>8100</c:v>
                </c:pt>
                <c:pt idx="6">
                  <c:v>9450</c:v>
                </c:pt>
                <c:pt idx="7">
                  <c:v>10800</c:v>
                </c:pt>
                <c:pt idx="8">
                  <c:v>12150</c:v>
                </c:pt>
                <c:pt idx="9">
                  <c:v>13500</c:v>
                </c:pt>
              </c:numCache>
            </c:numRef>
          </c:val>
          <c:smooth val="0"/>
          <c:extLst>
            <c:ext xmlns:c16="http://schemas.microsoft.com/office/drawing/2014/chart" uri="{C3380CC4-5D6E-409C-BE32-E72D297353CC}">
              <c16:uniqueId val="{00000001-B5FA-4990-9F54-18FAF03E9A7F}"/>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2'!$D$6:$D$15</c:f>
              <c:numCache>
                <c:formatCode>"$"#,##0</c:formatCode>
                <c:ptCount val="10"/>
                <c:pt idx="0">
                  <c:v>-4050</c:v>
                </c:pt>
                <c:pt idx="1">
                  <c:v>-2700</c:v>
                </c:pt>
                <c:pt idx="2">
                  <c:v>-1350</c:v>
                </c:pt>
                <c:pt idx="3">
                  <c:v>0</c:v>
                </c:pt>
                <c:pt idx="4">
                  <c:v>1350</c:v>
                </c:pt>
                <c:pt idx="5">
                  <c:v>2700</c:v>
                </c:pt>
                <c:pt idx="6">
                  <c:v>4050</c:v>
                </c:pt>
                <c:pt idx="7">
                  <c:v>5400</c:v>
                </c:pt>
                <c:pt idx="8">
                  <c:v>6750</c:v>
                </c:pt>
                <c:pt idx="9">
                  <c:v>8100</c:v>
                </c:pt>
              </c:numCache>
            </c:numRef>
          </c:val>
          <c:smooth val="0"/>
          <c:extLst>
            <c:ext xmlns:c16="http://schemas.microsoft.com/office/drawing/2014/chart" uri="{C3380CC4-5D6E-409C-BE32-E72D297353CC}">
              <c16:uniqueId val="{00000002-B5FA-4990-9F54-18FAF03E9A7F}"/>
            </c:ext>
          </c:extLst>
        </c:ser>
        <c:dLbls>
          <c:showLegendKey val="0"/>
          <c:showVal val="0"/>
          <c:showCatName val="0"/>
          <c:showSerName val="0"/>
          <c:showPercent val="0"/>
          <c:showBubbleSize val="0"/>
        </c:dLbls>
        <c:marker val="1"/>
        <c:smooth val="0"/>
        <c:axId val="468721360"/>
        <c:axId val="232078016"/>
      </c:lineChart>
      <c:catAx>
        <c:axId val="468721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 Price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78016"/>
        <c:crosses val="autoZero"/>
        <c:auto val="1"/>
        <c:lblAlgn val="ctr"/>
        <c:lblOffset val="100"/>
        <c:noMultiLvlLbl val="0"/>
      </c:catAx>
      <c:valAx>
        <c:axId val="23207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2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Area Chart: Sales Comparison Of Firms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Chart_Example'!$B$2</c:f>
              <c:strCache>
                <c:ptCount val="1"/>
                <c:pt idx="0">
                  <c:v>Firm A</c:v>
                </c:pt>
              </c:strCache>
            </c:strRef>
          </c:tx>
          <c:spPr>
            <a:solidFill>
              <a:schemeClr val="accent2"/>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Chart_Example'!$B$3:$B$7</c:f>
              <c:numCache>
                <c:formatCode>"$"#,##0.00_);[Red]\("$"#,##0.00\)</c:formatCode>
                <c:ptCount val="5"/>
                <c:pt idx="0">
                  <c:v>24.5</c:v>
                </c:pt>
                <c:pt idx="1">
                  <c:v>33.1</c:v>
                </c:pt>
                <c:pt idx="2">
                  <c:v>20.010000000000002</c:v>
                </c:pt>
                <c:pt idx="3">
                  <c:v>22.9</c:v>
                </c:pt>
                <c:pt idx="4">
                  <c:v>29.44</c:v>
                </c:pt>
              </c:numCache>
            </c:numRef>
          </c:val>
          <c:extLst>
            <c:ext xmlns:c16="http://schemas.microsoft.com/office/drawing/2014/chart" uri="{C3380CC4-5D6E-409C-BE32-E72D297353CC}">
              <c16:uniqueId val="{00000000-D735-4300-8C38-3DA03028E79A}"/>
            </c:ext>
          </c:extLst>
        </c:ser>
        <c:ser>
          <c:idx val="1"/>
          <c:order val="1"/>
          <c:tx>
            <c:strRef>
              <c:f>'Area Chart_Example'!$C$2</c:f>
              <c:strCache>
                <c:ptCount val="1"/>
                <c:pt idx="0">
                  <c:v>Firm B</c:v>
                </c:pt>
              </c:strCache>
            </c:strRef>
          </c:tx>
          <c:spPr>
            <a:solidFill>
              <a:schemeClr val="accent4"/>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Chart_Example'!$C$3:$C$7</c:f>
              <c:numCache>
                <c:formatCode>"$"#,##0.00_);[Red]\("$"#,##0.00\)</c:formatCode>
                <c:ptCount val="5"/>
                <c:pt idx="0">
                  <c:v>30.2</c:v>
                </c:pt>
                <c:pt idx="1">
                  <c:v>35.19</c:v>
                </c:pt>
                <c:pt idx="2">
                  <c:v>10.55</c:v>
                </c:pt>
                <c:pt idx="3">
                  <c:v>38.53</c:v>
                </c:pt>
                <c:pt idx="4">
                  <c:v>44.18</c:v>
                </c:pt>
              </c:numCache>
            </c:numRef>
          </c:val>
          <c:extLst>
            <c:ext xmlns:c16="http://schemas.microsoft.com/office/drawing/2014/chart" uri="{C3380CC4-5D6E-409C-BE32-E72D297353CC}">
              <c16:uniqueId val="{00000001-D735-4300-8C38-3DA03028E79A}"/>
            </c:ext>
          </c:extLst>
        </c:ser>
        <c:ser>
          <c:idx val="2"/>
          <c:order val="2"/>
          <c:tx>
            <c:strRef>
              <c:f>'Area Chart_Example'!$D$2</c:f>
              <c:strCache>
                <c:ptCount val="1"/>
                <c:pt idx="0">
                  <c:v>Firm C</c:v>
                </c:pt>
              </c:strCache>
            </c:strRef>
          </c:tx>
          <c:spPr>
            <a:solidFill>
              <a:schemeClr val="accent6"/>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Chart_Example'!$D$3:$D$7</c:f>
              <c:numCache>
                <c:formatCode>"$"#,##0.00_);[Red]\("$"#,##0.00\)</c:formatCode>
                <c:ptCount val="5"/>
                <c:pt idx="0">
                  <c:v>25.49</c:v>
                </c:pt>
                <c:pt idx="1">
                  <c:v>31.87</c:v>
                </c:pt>
                <c:pt idx="2">
                  <c:v>22</c:v>
                </c:pt>
                <c:pt idx="3">
                  <c:v>40.85</c:v>
                </c:pt>
                <c:pt idx="4">
                  <c:v>47.36</c:v>
                </c:pt>
              </c:numCache>
            </c:numRef>
          </c:val>
          <c:extLst>
            <c:ext xmlns:c16="http://schemas.microsoft.com/office/drawing/2014/chart" uri="{C3380CC4-5D6E-409C-BE32-E72D297353CC}">
              <c16:uniqueId val="{00000002-D735-4300-8C38-3DA03028E79A}"/>
            </c:ext>
          </c:extLst>
        </c:ser>
        <c:dLbls>
          <c:showLegendKey val="0"/>
          <c:showVal val="0"/>
          <c:showCatName val="0"/>
          <c:showSerName val="0"/>
          <c:showPercent val="0"/>
          <c:showBubbleSize val="0"/>
        </c:dLbls>
        <c:axId val="693511455"/>
        <c:axId val="763366015"/>
      </c:areaChart>
      <c:catAx>
        <c:axId val="69351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66015"/>
        <c:crosses val="autoZero"/>
        <c:auto val="1"/>
        <c:lblAlgn val="ctr"/>
        <c:lblOffset val="100"/>
        <c:noMultiLvlLbl val="0"/>
      </c:catAx>
      <c:valAx>
        <c:axId val="76336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11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Area Chart: Mathematics Monthly Test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Chart_Use'!$B$2</c:f>
              <c:strCache>
                <c:ptCount val="1"/>
                <c:pt idx="0">
                  <c:v>Jan-Test I</c:v>
                </c:pt>
              </c:strCache>
            </c:strRef>
          </c:tx>
          <c:spPr>
            <a:solidFill>
              <a:schemeClr val="accent1"/>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Chart_Use'!$B$3:$B$7</c:f>
              <c:numCache>
                <c:formatCode>General</c:formatCode>
                <c:ptCount val="5"/>
                <c:pt idx="0">
                  <c:v>98</c:v>
                </c:pt>
                <c:pt idx="1">
                  <c:v>100</c:v>
                </c:pt>
                <c:pt idx="2">
                  <c:v>95</c:v>
                </c:pt>
                <c:pt idx="3">
                  <c:v>94</c:v>
                </c:pt>
                <c:pt idx="4">
                  <c:v>91</c:v>
                </c:pt>
              </c:numCache>
            </c:numRef>
          </c:val>
          <c:extLst>
            <c:ext xmlns:c16="http://schemas.microsoft.com/office/drawing/2014/chart" uri="{C3380CC4-5D6E-409C-BE32-E72D297353CC}">
              <c16:uniqueId val="{00000000-8A9D-43A7-AA25-525D323EDF4D}"/>
            </c:ext>
          </c:extLst>
        </c:ser>
        <c:ser>
          <c:idx val="1"/>
          <c:order val="1"/>
          <c:tx>
            <c:strRef>
              <c:f>'Area Chart_Use'!$C$2</c:f>
              <c:strCache>
                <c:ptCount val="1"/>
                <c:pt idx="0">
                  <c:v>Feb-Test II</c:v>
                </c:pt>
              </c:strCache>
            </c:strRef>
          </c:tx>
          <c:spPr>
            <a:solidFill>
              <a:schemeClr val="accent2"/>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Chart_Use'!$C$3:$C$7</c:f>
              <c:numCache>
                <c:formatCode>General</c:formatCode>
                <c:ptCount val="5"/>
                <c:pt idx="0">
                  <c:v>95</c:v>
                </c:pt>
                <c:pt idx="1">
                  <c:v>91</c:v>
                </c:pt>
                <c:pt idx="2">
                  <c:v>94</c:v>
                </c:pt>
                <c:pt idx="3">
                  <c:v>93</c:v>
                </c:pt>
                <c:pt idx="4">
                  <c:v>90</c:v>
                </c:pt>
              </c:numCache>
            </c:numRef>
          </c:val>
          <c:extLst>
            <c:ext xmlns:c16="http://schemas.microsoft.com/office/drawing/2014/chart" uri="{C3380CC4-5D6E-409C-BE32-E72D297353CC}">
              <c16:uniqueId val="{00000001-8A9D-43A7-AA25-525D323EDF4D}"/>
            </c:ext>
          </c:extLst>
        </c:ser>
        <c:ser>
          <c:idx val="2"/>
          <c:order val="2"/>
          <c:tx>
            <c:strRef>
              <c:f>'Area Chart_Use'!$D$2</c:f>
              <c:strCache>
                <c:ptCount val="1"/>
                <c:pt idx="0">
                  <c:v>Mar-Test III</c:v>
                </c:pt>
              </c:strCache>
            </c:strRef>
          </c:tx>
          <c:spPr>
            <a:solidFill>
              <a:schemeClr val="accent3"/>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Chart_Use'!$D$3:$D$7</c:f>
              <c:numCache>
                <c:formatCode>General</c:formatCode>
                <c:ptCount val="5"/>
                <c:pt idx="0">
                  <c:v>90</c:v>
                </c:pt>
                <c:pt idx="1">
                  <c:v>88</c:v>
                </c:pt>
                <c:pt idx="2">
                  <c:v>92</c:v>
                </c:pt>
                <c:pt idx="3">
                  <c:v>85</c:v>
                </c:pt>
                <c:pt idx="4">
                  <c:v>88</c:v>
                </c:pt>
              </c:numCache>
            </c:numRef>
          </c:val>
          <c:extLst>
            <c:ext xmlns:c16="http://schemas.microsoft.com/office/drawing/2014/chart" uri="{C3380CC4-5D6E-409C-BE32-E72D297353CC}">
              <c16:uniqueId val="{00000002-8A9D-43A7-AA25-525D323EDF4D}"/>
            </c:ext>
          </c:extLst>
        </c:ser>
        <c:dLbls>
          <c:showLegendKey val="0"/>
          <c:showVal val="0"/>
          <c:showCatName val="0"/>
          <c:showSerName val="0"/>
          <c:showPercent val="0"/>
          <c:showBubbleSize val="0"/>
        </c:dLbls>
        <c:axId val="959107183"/>
        <c:axId val="763394719"/>
      </c:areaChart>
      <c:catAx>
        <c:axId val="9591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94719"/>
        <c:crosses val="autoZero"/>
        <c:auto val="1"/>
        <c:lblAlgn val="ctr"/>
        <c:lblOffset val="100"/>
        <c:noMultiLvlLbl val="0"/>
      </c:catAx>
      <c:valAx>
        <c:axId val="763394719"/>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07183"/>
        <c:crosses val="autoZero"/>
        <c:crossBetween val="midCat"/>
        <c:majorUnit val="2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Area</a:t>
            </a:r>
            <a:r>
              <a:rPr lang="en-US" baseline="0"/>
              <a:t> Chart: Total Income vs Total Savings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'Area Chart_Example 1'!$B$1</c:f>
              <c:strCache>
                <c:ptCount val="1"/>
                <c:pt idx="0">
                  <c:v>Total Savings In $</c:v>
                </c:pt>
              </c:strCache>
            </c:strRef>
          </c:tx>
          <c:spPr>
            <a:solidFill>
              <a:schemeClr val="accent1"/>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1'!$B$2:$B$6</c:f>
              <c:numCache>
                <c:formatCode>"$"#,##0_);[Red]\("$"#,##0\)</c:formatCode>
                <c:ptCount val="5"/>
                <c:pt idx="0">
                  <c:v>12000</c:v>
                </c:pt>
                <c:pt idx="1">
                  <c:v>14400</c:v>
                </c:pt>
                <c:pt idx="2">
                  <c:v>18000</c:v>
                </c:pt>
                <c:pt idx="3">
                  <c:v>13200</c:v>
                </c:pt>
                <c:pt idx="4">
                  <c:v>24000</c:v>
                </c:pt>
              </c:numCache>
            </c:numRef>
          </c:val>
          <c:extLst>
            <c:ext xmlns:c16="http://schemas.microsoft.com/office/drawing/2014/chart" uri="{C3380CC4-5D6E-409C-BE32-E72D297353CC}">
              <c16:uniqueId val="{00000000-19AF-4EDA-BC64-FA768235C1F7}"/>
            </c:ext>
          </c:extLst>
        </c:ser>
        <c:ser>
          <c:idx val="1"/>
          <c:order val="1"/>
          <c:tx>
            <c:strRef>
              <c:f>'Area Chart_Example 1'!$C$1</c:f>
              <c:strCache>
                <c:ptCount val="1"/>
                <c:pt idx="0">
                  <c:v>Total Income In $</c:v>
                </c:pt>
              </c:strCache>
            </c:strRef>
          </c:tx>
          <c:spPr>
            <a:solidFill>
              <a:schemeClr val="accent2"/>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1'!$C$2:$C$6</c:f>
              <c:numCache>
                <c:formatCode>"$"#,##0_);[Red]\("$"#,##0\)</c:formatCode>
                <c:ptCount val="5"/>
                <c:pt idx="0">
                  <c:v>48000</c:v>
                </c:pt>
                <c:pt idx="1">
                  <c:v>54000</c:v>
                </c:pt>
                <c:pt idx="2">
                  <c:v>42000</c:v>
                </c:pt>
                <c:pt idx="3">
                  <c:v>36000</c:v>
                </c:pt>
                <c:pt idx="4">
                  <c:v>66000</c:v>
                </c:pt>
              </c:numCache>
            </c:numRef>
          </c:val>
          <c:extLst>
            <c:ext xmlns:c16="http://schemas.microsoft.com/office/drawing/2014/chart" uri="{C3380CC4-5D6E-409C-BE32-E72D297353CC}">
              <c16:uniqueId val="{00000001-19AF-4EDA-BC64-FA768235C1F7}"/>
            </c:ext>
          </c:extLst>
        </c:ser>
        <c:dLbls>
          <c:showLegendKey val="0"/>
          <c:showVal val="0"/>
          <c:showCatName val="0"/>
          <c:showSerName val="0"/>
          <c:showPercent val="0"/>
          <c:showBubbleSize val="0"/>
        </c:dLbls>
        <c:axId val="808912655"/>
        <c:axId val="813843343"/>
        <c:axId val="971097215"/>
      </c:area3DChart>
      <c:catAx>
        <c:axId val="80891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auto val="1"/>
        <c:lblAlgn val="ctr"/>
        <c:lblOffset val="100"/>
        <c:noMultiLvlLbl val="0"/>
      </c:catAx>
      <c:valAx>
        <c:axId val="81384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655"/>
        <c:crosses val="autoZero"/>
        <c:crossBetween val="midCat"/>
      </c:valAx>
      <c:serAx>
        <c:axId val="9710972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2-D Stacked</a:t>
            </a:r>
            <a:r>
              <a:rPr lang="en-US" baseline="0"/>
              <a:t> Area Chart: Monthly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 2'!$B$2</c:f>
              <c:strCache>
                <c:ptCount val="1"/>
                <c:pt idx="0">
                  <c:v>Smartphone </c:v>
                </c:pt>
              </c:strCache>
            </c:strRef>
          </c:tx>
          <c:spPr>
            <a:solidFill>
              <a:schemeClr val="accent1"/>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9E3B-4F6E-8D9E-E1CFBB9FFEDD}"/>
            </c:ext>
          </c:extLst>
        </c:ser>
        <c:ser>
          <c:idx val="1"/>
          <c:order val="1"/>
          <c:tx>
            <c:strRef>
              <c:f>'Area Chart_Example 2'!$C$2</c:f>
              <c:strCache>
                <c:ptCount val="1"/>
                <c:pt idx="0">
                  <c:v>Laptop</c:v>
                </c:pt>
              </c:strCache>
            </c:strRef>
          </c:tx>
          <c:spPr>
            <a:solidFill>
              <a:schemeClr val="accent2"/>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9E3B-4F6E-8D9E-E1CFBB9FFEDD}"/>
            </c:ext>
          </c:extLst>
        </c:ser>
        <c:ser>
          <c:idx val="2"/>
          <c:order val="2"/>
          <c:tx>
            <c:strRef>
              <c:f>'Area Chart_Example 2'!$D$2</c:f>
              <c:strCache>
                <c:ptCount val="1"/>
                <c:pt idx="0">
                  <c:v>Desktop</c:v>
                </c:pt>
              </c:strCache>
            </c:strRef>
          </c:tx>
          <c:spPr>
            <a:solidFill>
              <a:schemeClr val="accent3"/>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9E3B-4F6E-8D9E-E1CFBB9FFEDD}"/>
            </c:ext>
          </c:extLst>
        </c:ser>
        <c:dLbls>
          <c:showLegendKey val="0"/>
          <c:showVal val="0"/>
          <c:showCatName val="0"/>
          <c:showSerName val="0"/>
          <c:showPercent val="0"/>
          <c:showBubbleSize val="0"/>
        </c:dLbls>
        <c:axId val="975425343"/>
        <c:axId val="813836271"/>
      </c:areaChart>
      <c:catAx>
        <c:axId val="97542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36271"/>
        <c:crosses val="autoZero"/>
        <c:auto val="1"/>
        <c:lblAlgn val="ctr"/>
        <c:lblOffset val="100"/>
        <c:noMultiLvlLbl val="0"/>
      </c:catAx>
      <c:valAx>
        <c:axId val="81383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3-D Stacked Area Chart: Monthly Inventory</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'Area Chart_Example 2_1'!$B$2</c:f>
              <c:strCache>
                <c:ptCount val="1"/>
                <c:pt idx="0">
                  <c:v>Smartphone </c:v>
                </c:pt>
              </c:strCache>
            </c:strRef>
          </c:tx>
          <c:spPr>
            <a:solidFill>
              <a:schemeClr val="accent1"/>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517D-4BD7-808E-2D305D866E4B}"/>
            </c:ext>
          </c:extLst>
        </c:ser>
        <c:ser>
          <c:idx val="1"/>
          <c:order val="1"/>
          <c:tx>
            <c:strRef>
              <c:f>'Area Chart_Example 2_1'!$C$2</c:f>
              <c:strCache>
                <c:ptCount val="1"/>
                <c:pt idx="0">
                  <c:v>Laptop</c:v>
                </c:pt>
              </c:strCache>
            </c:strRef>
          </c:tx>
          <c:spPr>
            <a:solidFill>
              <a:schemeClr val="accent2"/>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517D-4BD7-808E-2D305D866E4B}"/>
            </c:ext>
          </c:extLst>
        </c:ser>
        <c:ser>
          <c:idx val="2"/>
          <c:order val="2"/>
          <c:tx>
            <c:strRef>
              <c:f>'Area Chart_Example 2_1'!$D$2</c:f>
              <c:strCache>
                <c:ptCount val="1"/>
                <c:pt idx="0">
                  <c:v>Desktop</c:v>
                </c:pt>
              </c:strCache>
            </c:strRef>
          </c:tx>
          <c:spPr>
            <a:solidFill>
              <a:schemeClr val="accent3"/>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517D-4BD7-808E-2D305D866E4B}"/>
            </c:ext>
          </c:extLst>
        </c:ser>
        <c:dLbls>
          <c:showLegendKey val="0"/>
          <c:showVal val="0"/>
          <c:showCatName val="0"/>
          <c:showSerName val="0"/>
          <c:showPercent val="0"/>
          <c:showBubbleSize val="0"/>
        </c:dLbls>
        <c:axId val="956106703"/>
        <c:axId val="813842927"/>
        <c:axId val="0"/>
      </c:area3DChart>
      <c:catAx>
        <c:axId val="95610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2927"/>
        <c:crosses val="autoZero"/>
        <c:auto val="1"/>
        <c:lblAlgn val="ctr"/>
        <c:lblOffset val="100"/>
        <c:noMultiLvlLbl val="0"/>
      </c:catAx>
      <c:valAx>
        <c:axId val="81384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67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Stacked Area Chart: Quarterly 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'Area Chart_Example 3'!$A$3</c:f>
              <c:strCache>
                <c:ptCount val="1"/>
                <c:pt idx="0">
                  <c:v>Q1</c:v>
                </c:pt>
              </c:strCache>
            </c:strRef>
          </c:tx>
          <c:spPr>
            <a:solidFill>
              <a:schemeClr val="accent1"/>
            </a:solidFill>
            <a:ln>
              <a:noFill/>
            </a:ln>
            <a:effectLst/>
          </c:spPr>
          <c:cat>
            <c:strRef>
              <c:f>'Area Chart_Example 3'!$B$2:$E$2</c:f>
              <c:strCache>
                <c:ptCount val="4"/>
                <c:pt idx="0">
                  <c:v>North</c:v>
                </c:pt>
                <c:pt idx="1">
                  <c:v>South</c:v>
                </c:pt>
                <c:pt idx="2">
                  <c:v>East</c:v>
                </c:pt>
                <c:pt idx="3">
                  <c:v>West</c:v>
                </c:pt>
              </c:strCache>
            </c:strRef>
          </c:cat>
          <c:val>
            <c:numRef>
              <c:f>'Area Chart_Example 3'!$B$3:$E$3</c:f>
              <c:numCache>
                <c:formatCode>"$"#,##0</c:formatCode>
                <c:ptCount val="4"/>
                <c:pt idx="0">
                  <c:v>10000</c:v>
                </c:pt>
                <c:pt idx="1">
                  <c:v>8000</c:v>
                </c:pt>
                <c:pt idx="2">
                  <c:v>16000</c:v>
                </c:pt>
                <c:pt idx="3">
                  <c:v>5000</c:v>
                </c:pt>
              </c:numCache>
            </c:numRef>
          </c:val>
          <c:extLst>
            <c:ext xmlns:c16="http://schemas.microsoft.com/office/drawing/2014/chart" uri="{C3380CC4-5D6E-409C-BE32-E72D297353CC}">
              <c16:uniqueId val="{00000000-8E2F-41ED-B904-1F62ACAAB644}"/>
            </c:ext>
          </c:extLst>
        </c:ser>
        <c:ser>
          <c:idx val="1"/>
          <c:order val="1"/>
          <c:tx>
            <c:strRef>
              <c:f>'Area Chart_Example 3'!$A$4</c:f>
              <c:strCache>
                <c:ptCount val="1"/>
                <c:pt idx="0">
                  <c:v>Q2</c:v>
                </c:pt>
              </c:strCache>
            </c:strRef>
          </c:tx>
          <c:spPr>
            <a:solidFill>
              <a:schemeClr val="accent2"/>
            </a:solidFill>
            <a:ln>
              <a:noFill/>
            </a:ln>
            <a:effectLst/>
          </c:spPr>
          <c:cat>
            <c:strRef>
              <c:f>'Area Chart_Example 3'!$B$2:$E$2</c:f>
              <c:strCache>
                <c:ptCount val="4"/>
                <c:pt idx="0">
                  <c:v>North</c:v>
                </c:pt>
                <c:pt idx="1">
                  <c:v>South</c:v>
                </c:pt>
                <c:pt idx="2">
                  <c:v>East</c:v>
                </c:pt>
                <c:pt idx="3">
                  <c:v>West</c:v>
                </c:pt>
              </c:strCache>
            </c:strRef>
          </c:cat>
          <c:val>
            <c:numRef>
              <c:f>'Area Chart_Example 3'!$B$4:$E$4</c:f>
              <c:numCache>
                <c:formatCode>"$"#,##0</c:formatCode>
                <c:ptCount val="4"/>
                <c:pt idx="0">
                  <c:v>13000</c:v>
                </c:pt>
                <c:pt idx="1">
                  <c:v>16000</c:v>
                </c:pt>
                <c:pt idx="2">
                  <c:v>18500</c:v>
                </c:pt>
                <c:pt idx="3">
                  <c:v>8000</c:v>
                </c:pt>
              </c:numCache>
            </c:numRef>
          </c:val>
          <c:extLst>
            <c:ext xmlns:c16="http://schemas.microsoft.com/office/drawing/2014/chart" uri="{C3380CC4-5D6E-409C-BE32-E72D297353CC}">
              <c16:uniqueId val="{00000001-8E2F-41ED-B904-1F62ACAAB644}"/>
            </c:ext>
          </c:extLst>
        </c:ser>
        <c:ser>
          <c:idx val="2"/>
          <c:order val="2"/>
          <c:tx>
            <c:strRef>
              <c:f>'Area Chart_Example 3'!$A$5</c:f>
              <c:strCache>
                <c:ptCount val="1"/>
                <c:pt idx="0">
                  <c:v>Q3</c:v>
                </c:pt>
              </c:strCache>
            </c:strRef>
          </c:tx>
          <c:spPr>
            <a:solidFill>
              <a:schemeClr val="accent3"/>
            </a:solidFill>
            <a:ln>
              <a:noFill/>
            </a:ln>
            <a:effectLst/>
          </c:spPr>
          <c:cat>
            <c:strRef>
              <c:f>'Area Chart_Example 3'!$B$2:$E$2</c:f>
              <c:strCache>
                <c:ptCount val="4"/>
                <c:pt idx="0">
                  <c:v>North</c:v>
                </c:pt>
                <c:pt idx="1">
                  <c:v>South</c:v>
                </c:pt>
                <c:pt idx="2">
                  <c:v>East</c:v>
                </c:pt>
                <c:pt idx="3">
                  <c:v>West</c:v>
                </c:pt>
              </c:strCache>
            </c:strRef>
          </c:cat>
          <c:val>
            <c:numRef>
              <c:f>'Area Chart_Example 3'!$B$5:$E$5</c:f>
              <c:numCache>
                <c:formatCode>"$"#,##0</c:formatCode>
                <c:ptCount val="4"/>
                <c:pt idx="0">
                  <c:v>18000</c:v>
                </c:pt>
                <c:pt idx="1">
                  <c:v>13000</c:v>
                </c:pt>
                <c:pt idx="2">
                  <c:v>14000</c:v>
                </c:pt>
                <c:pt idx="3">
                  <c:v>1000</c:v>
                </c:pt>
              </c:numCache>
            </c:numRef>
          </c:val>
          <c:extLst>
            <c:ext xmlns:c16="http://schemas.microsoft.com/office/drawing/2014/chart" uri="{C3380CC4-5D6E-409C-BE32-E72D297353CC}">
              <c16:uniqueId val="{00000002-8E2F-41ED-B904-1F62ACAAB644}"/>
            </c:ext>
          </c:extLst>
        </c:ser>
        <c:ser>
          <c:idx val="3"/>
          <c:order val="3"/>
          <c:tx>
            <c:strRef>
              <c:f>'Area Chart_Example 3'!$A$6</c:f>
              <c:strCache>
                <c:ptCount val="1"/>
                <c:pt idx="0">
                  <c:v>Q4</c:v>
                </c:pt>
              </c:strCache>
            </c:strRef>
          </c:tx>
          <c:spPr>
            <a:solidFill>
              <a:schemeClr val="accent4"/>
            </a:solidFill>
            <a:ln>
              <a:noFill/>
            </a:ln>
            <a:effectLst/>
          </c:spPr>
          <c:cat>
            <c:strRef>
              <c:f>'Area Chart_Example 3'!$B$2:$E$2</c:f>
              <c:strCache>
                <c:ptCount val="4"/>
                <c:pt idx="0">
                  <c:v>North</c:v>
                </c:pt>
                <c:pt idx="1">
                  <c:v>South</c:v>
                </c:pt>
                <c:pt idx="2">
                  <c:v>East</c:v>
                </c:pt>
                <c:pt idx="3">
                  <c:v>West</c:v>
                </c:pt>
              </c:strCache>
            </c:strRef>
          </c:cat>
          <c:val>
            <c:numRef>
              <c:f>'Area Chart_Example 3'!$B$6:$E$6</c:f>
              <c:numCache>
                <c:formatCode>"$"#,##0</c:formatCode>
                <c:ptCount val="4"/>
                <c:pt idx="0">
                  <c:v>15000</c:v>
                </c:pt>
                <c:pt idx="1">
                  <c:v>11000</c:v>
                </c:pt>
                <c:pt idx="2">
                  <c:v>20000</c:v>
                </c:pt>
                <c:pt idx="3">
                  <c:v>6000</c:v>
                </c:pt>
              </c:numCache>
            </c:numRef>
          </c:val>
          <c:extLst>
            <c:ext xmlns:c16="http://schemas.microsoft.com/office/drawing/2014/chart" uri="{C3380CC4-5D6E-409C-BE32-E72D297353CC}">
              <c16:uniqueId val="{00000003-8E2F-41ED-B904-1F62ACAAB644}"/>
            </c:ext>
          </c:extLst>
        </c:ser>
        <c:dLbls>
          <c:showLegendKey val="0"/>
          <c:showVal val="0"/>
          <c:showCatName val="0"/>
          <c:showSerName val="0"/>
          <c:showPercent val="0"/>
          <c:showBubbleSize val="0"/>
        </c:dLbls>
        <c:axId val="808912255"/>
        <c:axId val="813810895"/>
      </c:areaChart>
      <c:catAx>
        <c:axId val="808912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10895"/>
        <c:crosses val="autoZero"/>
        <c:auto val="1"/>
        <c:lblAlgn val="ctr"/>
        <c:lblOffset val="100"/>
        <c:noMultiLvlLbl val="0"/>
      </c:catAx>
      <c:valAx>
        <c:axId val="8138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Chart: Branch Offices'</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Chart_FAQ'!$A$3</c:f>
              <c:strCache>
                <c:ptCount val="1"/>
                <c:pt idx="0">
                  <c:v>2015</c:v>
                </c:pt>
              </c:strCache>
            </c:strRef>
          </c:tx>
          <c:spPr>
            <a:solidFill>
              <a:schemeClr val="accent1"/>
            </a:solidFill>
            <a:ln>
              <a:noFill/>
            </a:ln>
            <a:effectLst/>
          </c:spPr>
          <c:cat>
            <c:strRef>
              <c:f>'Area Chart_FAQ'!$B$2:$E$2</c:f>
              <c:strCache>
                <c:ptCount val="4"/>
                <c:pt idx="0">
                  <c:v>BO_1</c:v>
                </c:pt>
                <c:pt idx="1">
                  <c:v>BO_2</c:v>
                </c:pt>
                <c:pt idx="2">
                  <c:v>BO_3</c:v>
                </c:pt>
                <c:pt idx="3">
                  <c:v>BO_4</c:v>
                </c:pt>
              </c:strCache>
            </c:strRef>
          </c:cat>
          <c:val>
            <c:numRef>
              <c:f>'Area Chart_FAQ'!$B$3:$E$3</c:f>
              <c:numCache>
                <c:formatCode>"$"#,##0</c:formatCode>
                <c:ptCount val="4"/>
                <c:pt idx="0">
                  <c:v>8</c:v>
                </c:pt>
                <c:pt idx="1">
                  <c:v>20</c:v>
                </c:pt>
                <c:pt idx="2">
                  <c:v>3</c:v>
                </c:pt>
                <c:pt idx="3">
                  <c:v>14</c:v>
                </c:pt>
              </c:numCache>
            </c:numRef>
          </c:val>
          <c:extLst>
            <c:ext xmlns:c16="http://schemas.microsoft.com/office/drawing/2014/chart" uri="{C3380CC4-5D6E-409C-BE32-E72D297353CC}">
              <c16:uniqueId val="{00000000-8BE2-40B4-A136-602D9628981B}"/>
            </c:ext>
          </c:extLst>
        </c:ser>
        <c:ser>
          <c:idx val="1"/>
          <c:order val="1"/>
          <c:tx>
            <c:strRef>
              <c:f>'Area Chart_FAQ'!$A$4</c:f>
              <c:strCache>
                <c:ptCount val="1"/>
                <c:pt idx="0">
                  <c:v>2016</c:v>
                </c:pt>
              </c:strCache>
            </c:strRef>
          </c:tx>
          <c:spPr>
            <a:solidFill>
              <a:schemeClr val="accent2"/>
            </a:solidFill>
            <a:ln>
              <a:noFill/>
            </a:ln>
            <a:effectLst/>
          </c:spPr>
          <c:cat>
            <c:strRef>
              <c:f>'Area Chart_FAQ'!$B$2:$E$2</c:f>
              <c:strCache>
                <c:ptCount val="4"/>
                <c:pt idx="0">
                  <c:v>BO_1</c:v>
                </c:pt>
                <c:pt idx="1">
                  <c:v>BO_2</c:v>
                </c:pt>
                <c:pt idx="2">
                  <c:v>BO_3</c:v>
                </c:pt>
                <c:pt idx="3">
                  <c:v>BO_4</c:v>
                </c:pt>
              </c:strCache>
            </c:strRef>
          </c:cat>
          <c:val>
            <c:numRef>
              <c:f>'Area Chart_FAQ'!$B$4:$E$4</c:f>
              <c:numCache>
                <c:formatCode>"$"#,##0</c:formatCode>
                <c:ptCount val="4"/>
                <c:pt idx="0">
                  <c:v>11</c:v>
                </c:pt>
                <c:pt idx="1">
                  <c:v>14</c:v>
                </c:pt>
                <c:pt idx="2">
                  <c:v>-10</c:v>
                </c:pt>
                <c:pt idx="3">
                  <c:v>16</c:v>
                </c:pt>
              </c:numCache>
            </c:numRef>
          </c:val>
          <c:extLst>
            <c:ext xmlns:c16="http://schemas.microsoft.com/office/drawing/2014/chart" uri="{C3380CC4-5D6E-409C-BE32-E72D297353CC}">
              <c16:uniqueId val="{00000001-8BE2-40B4-A136-602D9628981B}"/>
            </c:ext>
          </c:extLst>
        </c:ser>
        <c:ser>
          <c:idx val="2"/>
          <c:order val="2"/>
          <c:tx>
            <c:strRef>
              <c:f>'Area Chart_FAQ'!$A$5</c:f>
              <c:strCache>
                <c:ptCount val="1"/>
                <c:pt idx="0">
                  <c:v>2017</c:v>
                </c:pt>
              </c:strCache>
            </c:strRef>
          </c:tx>
          <c:spPr>
            <a:solidFill>
              <a:schemeClr val="accent3"/>
            </a:solidFill>
            <a:ln>
              <a:noFill/>
            </a:ln>
            <a:effectLst/>
          </c:spPr>
          <c:cat>
            <c:strRef>
              <c:f>'Area Chart_FAQ'!$B$2:$E$2</c:f>
              <c:strCache>
                <c:ptCount val="4"/>
                <c:pt idx="0">
                  <c:v>BO_1</c:v>
                </c:pt>
                <c:pt idx="1">
                  <c:v>BO_2</c:v>
                </c:pt>
                <c:pt idx="2">
                  <c:v>BO_3</c:v>
                </c:pt>
                <c:pt idx="3">
                  <c:v>BO_4</c:v>
                </c:pt>
              </c:strCache>
            </c:strRef>
          </c:cat>
          <c:val>
            <c:numRef>
              <c:f>'Area Chart_FAQ'!$B$5:$E$5</c:f>
              <c:numCache>
                <c:formatCode>"$"#,##0</c:formatCode>
                <c:ptCount val="4"/>
                <c:pt idx="0">
                  <c:v>16</c:v>
                </c:pt>
                <c:pt idx="1">
                  <c:v>11</c:v>
                </c:pt>
                <c:pt idx="2">
                  <c:v>-7</c:v>
                </c:pt>
                <c:pt idx="3">
                  <c:v>12</c:v>
                </c:pt>
              </c:numCache>
            </c:numRef>
          </c:val>
          <c:extLst>
            <c:ext xmlns:c16="http://schemas.microsoft.com/office/drawing/2014/chart" uri="{C3380CC4-5D6E-409C-BE32-E72D297353CC}">
              <c16:uniqueId val="{00000002-8BE2-40B4-A136-602D9628981B}"/>
            </c:ext>
          </c:extLst>
        </c:ser>
        <c:ser>
          <c:idx val="3"/>
          <c:order val="3"/>
          <c:tx>
            <c:strRef>
              <c:f>'Area Chart_FAQ'!$A$6</c:f>
              <c:strCache>
                <c:ptCount val="1"/>
                <c:pt idx="0">
                  <c:v>2018</c:v>
                </c:pt>
              </c:strCache>
            </c:strRef>
          </c:tx>
          <c:spPr>
            <a:solidFill>
              <a:schemeClr val="accent4"/>
            </a:solidFill>
            <a:ln>
              <a:noFill/>
            </a:ln>
            <a:effectLst/>
          </c:spPr>
          <c:cat>
            <c:strRef>
              <c:f>'Area Chart_FAQ'!$B$2:$E$2</c:f>
              <c:strCache>
                <c:ptCount val="4"/>
                <c:pt idx="0">
                  <c:v>BO_1</c:v>
                </c:pt>
                <c:pt idx="1">
                  <c:v>BO_2</c:v>
                </c:pt>
                <c:pt idx="2">
                  <c:v>BO_3</c:v>
                </c:pt>
                <c:pt idx="3">
                  <c:v>BO_4</c:v>
                </c:pt>
              </c:strCache>
            </c:strRef>
          </c:cat>
          <c:val>
            <c:numRef>
              <c:f>'Area Chart_FAQ'!$B$6:$E$6</c:f>
              <c:numCache>
                <c:formatCode>"$"#,##0</c:formatCode>
                <c:ptCount val="4"/>
                <c:pt idx="0">
                  <c:v>13</c:v>
                </c:pt>
                <c:pt idx="1">
                  <c:v>9</c:v>
                </c:pt>
                <c:pt idx="2">
                  <c:v>-8</c:v>
                </c:pt>
                <c:pt idx="3">
                  <c:v>18</c:v>
                </c:pt>
              </c:numCache>
            </c:numRef>
          </c:val>
          <c:extLst>
            <c:ext xmlns:c16="http://schemas.microsoft.com/office/drawing/2014/chart" uri="{C3380CC4-5D6E-409C-BE32-E72D297353CC}">
              <c16:uniqueId val="{00000003-8BE2-40B4-A136-602D9628981B}"/>
            </c:ext>
          </c:extLst>
        </c:ser>
        <c:dLbls>
          <c:showLegendKey val="0"/>
          <c:showVal val="0"/>
          <c:showCatName val="0"/>
          <c:showSerName val="0"/>
          <c:showPercent val="0"/>
          <c:showBubbleSize val="0"/>
        </c:dLbls>
        <c:axId val="476419695"/>
        <c:axId val="309912559"/>
      </c:areaChart>
      <c:catAx>
        <c:axId val="47641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Branch</a:t>
                </a:r>
                <a:r>
                  <a:rPr lang="en-US" baseline="0"/>
                  <a:t> Office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2559"/>
        <c:crosses val="autoZero"/>
        <c:auto val="1"/>
        <c:lblAlgn val="ctr"/>
        <c:lblOffset val="100"/>
        <c:noMultiLvlLbl val="0"/>
      </c:catAx>
      <c:valAx>
        <c:axId val="309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1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Clustered</a:t>
            </a:r>
            <a:r>
              <a:rPr lang="en-US" sz="1200" b="1" baseline="0"/>
              <a:t> Column Chart: Region-wise Quarterly Sales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CColChart_Example!$A$3</c:f>
              <c:strCache>
                <c:ptCount val="1"/>
                <c:pt idx="0">
                  <c:v>Region1</c:v>
                </c:pt>
              </c:strCache>
            </c:strRef>
          </c:tx>
          <c:spPr>
            <a:solidFill>
              <a:schemeClr val="accent2"/>
            </a:solidFill>
            <a:ln>
              <a:noFill/>
            </a:ln>
            <a:effectLst/>
          </c:spPr>
          <c:invertIfNegative val="0"/>
          <c:cat>
            <c:strRef>
              <c:f>CColChart_Example!$B$2:$E$2</c:f>
              <c:strCache>
                <c:ptCount val="4"/>
                <c:pt idx="0">
                  <c:v>Q1</c:v>
                </c:pt>
                <c:pt idx="1">
                  <c:v>Q2</c:v>
                </c:pt>
                <c:pt idx="2">
                  <c:v>Q3</c:v>
                </c:pt>
                <c:pt idx="3">
                  <c:v>Q4</c:v>
                </c:pt>
              </c:strCache>
            </c:strRef>
          </c:cat>
          <c:val>
            <c:numRef>
              <c:f>CColChart_Example!$B$3:$E$3</c:f>
              <c:numCache>
                <c:formatCode>"$"#,##0</c:formatCode>
                <c:ptCount val="4"/>
                <c:pt idx="0">
                  <c:v>10</c:v>
                </c:pt>
                <c:pt idx="1">
                  <c:v>20</c:v>
                </c:pt>
                <c:pt idx="2">
                  <c:v>15</c:v>
                </c:pt>
                <c:pt idx="3">
                  <c:v>9</c:v>
                </c:pt>
              </c:numCache>
            </c:numRef>
          </c:val>
          <c:extLst>
            <c:ext xmlns:c16="http://schemas.microsoft.com/office/drawing/2014/chart" uri="{C3380CC4-5D6E-409C-BE32-E72D297353CC}">
              <c16:uniqueId val="{00000000-63F5-4FDD-BAD4-955CA0284B96}"/>
            </c:ext>
          </c:extLst>
        </c:ser>
        <c:ser>
          <c:idx val="1"/>
          <c:order val="1"/>
          <c:tx>
            <c:strRef>
              <c:f>CColChart_Example!$A$4</c:f>
              <c:strCache>
                <c:ptCount val="1"/>
                <c:pt idx="0">
                  <c:v>Region2</c:v>
                </c:pt>
              </c:strCache>
            </c:strRef>
          </c:tx>
          <c:spPr>
            <a:solidFill>
              <a:schemeClr val="accent4"/>
            </a:solidFill>
            <a:ln>
              <a:noFill/>
            </a:ln>
            <a:effectLst/>
          </c:spPr>
          <c:invertIfNegative val="0"/>
          <c:cat>
            <c:strRef>
              <c:f>CColChart_Example!$B$2:$E$2</c:f>
              <c:strCache>
                <c:ptCount val="4"/>
                <c:pt idx="0">
                  <c:v>Q1</c:v>
                </c:pt>
                <c:pt idx="1">
                  <c:v>Q2</c:v>
                </c:pt>
                <c:pt idx="2">
                  <c:v>Q3</c:v>
                </c:pt>
                <c:pt idx="3">
                  <c:v>Q4</c:v>
                </c:pt>
              </c:strCache>
            </c:strRef>
          </c:cat>
          <c:val>
            <c:numRef>
              <c:f>CColChart_Example!$B$4:$E$4</c:f>
              <c:numCache>
                <c:formatCode>"$"#,##0</c:formatCode>
                <c:ptCount val="4"/>
                <c:pt idx="0">
                  <c:v>8</c:v>
                </c:pt>
                <c:pt idx="1">
                  <c:v>24</c:v>
                </c:pt>
                <c:pt idx="2">
                  <c:v>20</c:v>
                </c:pt>
                <c:pt idx="3">
                  <c:v>18</c:v>
                </c:pt>
              </c:numCache>
            </c:numRef>
          </c:val>
          <c:extLst>
            <c:ext xmlns:c16="http://schemas.microsoft.com/office/drawing/2014/chart" uri="{C3380CC4-5D6E-409C-BE32-E72D297353CC}">
              <c16:uniqueId val="{00000001-63F5-4FDD-BAD4-955CA0284B96}"/>
            </c:ext>
          </c:extLst>
        </c:ser>
        <c:ser>
          <c:idx val="2"/>
          <c:order val="2"/>
          <c:tx>
            <c:strRef>
              <c:f>CColChart_Example!$A$5</c:f>
              <c:strCache>
                <c:ptCount val="1"/>
                <c:pt idx="0">
                  <c:v>Region3</c:v>
                </c:pt>
              </c:strCache>
            </c:strRef>
          </c:tx>
          <c:spPr>
            <a:solidFill>
              <a:schemeClr val="accent6"/>
            </a:solidFill>
            <a:ln>
              <a:noFill/>
            </a:ln>
            <a:effectLst/>
          </c:spPr>
          <c:invertIfNegative val="0"/>
          <c:cat>
            <c:strRef>
              <c:f>CColChart_Example!$B$2:$E$2</c:f>
              <c:strCache>
                <c:ptCount val="4"/>
                <c:pt idx="0">
                  <c:v>Q1</c:v>
                </c:pt>
                <c:pt idx="1">
                  <c:v>Q2</c:v>
                </c:pt>
                <c:pt idx="2">
                  <c:v>Q3</c:v>
                </c:pt>
                <c:pt idx="3">
                  <c:v>Q4</c:v>
                </c:pt>
              </c:strCache>
            </c:strRef>
          </c:cat>
          <c:val>
            <c:numRef>
              <c:f>CColChart_Example!$B$5:$E$5</c:f>
              <c:numCache>
                <c:formatCode>"$"#,##0</c:formatCode>
                <c:ptCount val="4"/>
                <c:pt idx="0">
                  <c:v>14</c:v>
                </c:pt>
                <c:pt idx="1">
                  <c:v>28</c:v>
                </c:pt>
                <c:pt idx="2">
                  <c:v>5</c:v>
                </c:pt>
                <c:pt idx="3">
                  <c:v>27</c:v>
                </c:pt>
              </c:numCache>
            </c:numRef>
          </c:val>
          <c:extLst>
            <c:ext xmlns:c16="http://schemas.microsoft.com/office/drawing/2014/chart" uri="{C3380CC4-5D6E-409C-BE32-E72D297353CC}">
              <c16:uniqueId val="{00000002-63F5-4FDD-BAD4-955CA0284B96}"/>
            </c:ext>
          </c:extLst>
        </c:ser>
        <c:ser>
          <c:idx val="3"/>
          <c:order val="3"/>
          <c:tx>
            <c:strRef>
              <c:f>CColChart_Example!$A$6</c:f>
              <c:strCache>
                <c:ptCount val="1"/>
                <c:pt idx="0">
                  <c:v>Region4</c:v>
                </c:pt>
              </c:strCache>
            </c:strRef>
          </c:tx>
          <c:spPr>
            <a:solidFill>
              <a:schemeClr val="accent2">
                <a:lumMod val="60000"/>
              </a:schemeClr>
            </a:solidFill>
            <a:ln>
              <a:noFill/>
            </a:ln>
            <a:effectLst/>
          </c:spPr>
          <c:invertIfNegative val="0"/>
          <c:cat>
            <c:strRef>
              <c:f>CColChart_Example!$B$2:$E$2</c:f>
              <c:strCache>
                <c:ptCount val="4"/>
                <c:pt idx="0">
                  <c:v>Q1</c:v>
                </c:pt>
                <c:pt idx="1">
                  <c:v>Q2</c:v>
                </c:pt>
                <c:pt idx="2">
                  <c:v>Q3</c:v>
                </c:pt>
                <c:pt idx="3">
                  <c:v>Q4</c:v>
                </c:pt>
              </c:strCache>
            </c:strRef>
          </c:cat>
          <c:val>
            <c:numRef>
              <c:f>CColChart_Example!$B$6:$E$6</c:f>
              <c:numCache>
                <c:formatCode>"$"#,##0</c:formatCode>
                <c:ptCount val="4"/>
                <c:pt idx="0">
                  <c:v>16</c:v>
                </c:pt>
                <c:pt idx="1">
                  <c:v>13</c:v>
                </c:pt>
                <c:pt idx="2">
                  <c:v>10</c:v>
                </c:pt>
                <c:pt idx="3">
                  <c:v>36</c:v>
                </c:pt>
              </c:numCache>
            </c:numRef>
          </c:val>
          <c:extLst>
            <c:ext xmlns:c16="http://schemas.microsoft.com/office/drawing/2014/chart" uri="{C3380CC4-5D6E-409C-BE32-E72D297353CC}">
              <c16:uniqueId val="{00000003-63F5-4FDD-BAD4-955CA0284B96}"/>
            </c:ext>
          </c:extLst>
        </c:ser>
        <c:dLbls>
          <c:showLegendKey val="0"/>
          <c:showVal val="0"/>
          <c:showCatName val="0"/>
          <c:showSerName val="0"/>
          <c:showPercent val="0"/>
          <c:showBubbleSize val="0"/>
        </c:dLbls>
        <c:gapWidth val="30"/>
        <c:axId val="149498431"/>
        <c:axId val="340407647"/>
      </c:barChart>
      <c:catAx>
        <c:axId val="149498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7647"/>
        <c:crosses val="autoZero"/>
        <c:auto val="1"/>
        <c:lblAlgn val="ctr"/>
        <c:lblOffset val="100"/>
        <c:noMultiLvlLbl val="0"/>
      </c:catAx>
      <c:valAx>
        <c:axId val="34040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9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aseline="0"/>
              <a:t>Clustered Column Chart: Brand-wise Monthly Customer Vote Comparison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CColChart_Use!$A$3</c:f>
              <c:strCache>
                <c:ptCount val="1"/>
                <c:pt idx="0">
                  <c:v>Apple</c:v>
                </c:pt>
              </c:strCache>
            </c:strRef>
          </c:tx>
          <c:spPr>
            <a:solidFill>
              <a:schemeClr val="accent1"/>
            </a:solidFill>
            <a:ln>
              <a:noFill/>
            </a:ln>
            <a:effectLst/>
          </c:spPr>
          <c:invertIfNegative val="0"/>
          <c:cat>
            <c:strRef>
              <c:f>CColChart_Use!$B$2:$E$2</c:f>
              <c:strCache>
                <c:ptCount val="4"/>
                <c:pt idx="0">
                  <c:v>Jan</c:v>
                </c:pt>
                <c:pt idx="1">
                  <c:v>Feb</c:v>
                </c:pt>
                <c:pt idx="2">
                  <c:v>Mar</c:v>
                </c:pt>
                <c:pt idx="3">
                  <c:v>Apr</c:v>
                </c:pt>
              </c:strCache>
            </c:strRef>
          </c:cat>
          <c:val>
            <c:numRef>
              <c:f>CColChart_Use!$B$3:$E$3</c:f>
              <c:numCache>
                <c:formatCode>General</c:formatCode>
                <c:ptCount val="4"/>
                <c:pt idx="0">
                  <c:v>2384</c:v>
                </c:pt>
                <c:pt idx="1">
                  <c:v>4221</c:v>
                </c:pt>
                <c:pt idx="2">
                  <c:v>3416</c:v>
                </c:pt>
                <c:pt idx="3">
                  <c:v>5846</c:v>
                </c:pt>
              </c:numCache>
            </c:numRef>
          </c:val>
          <c:extLst>
            <c:ext xmlns:c16="http://schemas.microsoft.com/office/drawing/2014/chart" uri="{C3380CC4-5D6E-409C-BE32-E72D297353CC}">
              <c16:uniqueId val="{00000000-BC86-4A0D-ACA5-3E88455AD268}"/>
            </c:ext>
          </c:extLst>
        </c:ser>
        <c:ser>
          <c:idx val="1"/>
          <c:order val="1"/>
          <c:tx>
            <c:strRef>
              <c:f>CColChart_Use!$A$4</c:f>
              <c:strCache>
                <c:ptCount val="1"/>
                <c:pt idx="0">
                  <c:v>Samsung</c:v>
                </c:pt>
              </c:strCache>
            </c:strRef>
          </c:tx>
          <c:spPr>
            <a:solidFill>
              <a:schemeClr val="accent2"/>
            </a:solidFill>
            <a:ln>
              <a:noFill/>
            </a:ln>
            <a:effectLst/>
          </c:spPr>
          <c:invertIfNegative val="0"/>
          <c:cat>
            <c:strRef>
              <c:f>CColChart_Use!$B$2:$E$2</c:f>
              <c:strCache>
                <c:ptCount val="4"/>
                <c:pt idx="0">
                  <c:v>Jan</c:v>
                </c:pt>
                <c:pt idx="1">
                  <c:v>Feb</c:v>
                </c:pt>
                <c:pt idx="2">
                  <c:v>Mar</c:v>
                </c:pt>
                <c:pt idx="3">
                  <c:v>Apr</c:v>
                </c:pt>
              </c:strCache>
            </c:strRef>
          </c:cat>
          <c:val>
            <c:numRef>
              <c:f>CColChart_Use!$B$4:$E$4</c:f>
              <c:numCache>
                <c:formatCode>General</c:formatCode>
                <c:ptCount val="4"/>
                <c:pt idx="0">
                  <c:v>1479</c:v>
                </c:pt>
                <c:pt idx="1">
                  <c:v>2807</c:v>
                </c:pt>
                <c:pt idx="2">
                  <c:v>1900</c:v>
                </c:pt>
                <c:pt idx="3">
                  <c:v>6945</c:v>
                </c:pt>
              </c:numCache>
            </c:numRef>
          </c:val>
          <c:extLst>
            <c:ext xmlns:c16="http://schemas.microsoft.com/office/drawing/2014/chart" uri="{C3380CC4-5D6E-409C-BE32-E72D297353CC}">
              <c16:uniqueId val="{00000001-BC86-4A0D-ACA5-3E88455AD268}"/>
            </c:ext>
          </c:extLst>
        </c:ser>
        <c:dLbls>
          <c:showLegendKey val="0"/>
          <c:showVal val="0"/>
          <c:showCatName val="0"/>
          <c:showSerName val="0"/>
          <c:showPercent val="0"/>
          <c:showBubbleSize val="0"/>
        </c:dLbls>
        <c:gapWidth val="75"/>
        <c:axId val="1456024560"/>
        <c:axId val="1671903456"/>
      </c:barChart>
      <c:catAx>
        <c:axId val="145602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03456"/>
        <c:crosses val="autoZero"/>
        <c:auto val="1"/>
        <c:lblAlgn val="ctr"/>
        <c:lblOffset val="100"/>
        <c:noMultiLvlLbl val="0"/>
      </c:catAx>
      <c:valAx>
        <c:axId val="167190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2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Houston:</a:t>
            </a:r>
            <a:r>
              <a:rPr lang="en-US" baseline="0"/>
              <a:t> Units Ordered vs Order Target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1'!$C$2</c:f>
              <c:strCache>
                <c:ptCount val="1"/>
                <c:pt idx="0">
                  <c:v>Houston</c:v>
                </c:pt>
              </c:strCache>
            </c:strRef>
          </c:tx>
          <c:spPr>
            <a:solidFill>
              <a:schemeClr val="accent1"/>
            </a:solidFill>
            <a:ln>
              <a:noFill/>
            </a:ln>
            <a:effectLst/>
          </c:spPr>
          <c:invertIfNegative val="0"/>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1'!$C$3:$C$13</c:f>
              <c:numCache>
                <c:formatCode>General</c:formatCode>
                <c:ptCount val="11"/>
                <c:pt idx="0">
                  <c:v>450</c:v>
                </c:pt>
                <c:pt idx="1">
                  <c:v>600</c:v>
                </c:pt>
                <c:pt idx="2">
                  <c:v>500</c:v>
                </c:pt>
                <c:pt idx="4">
                  <c:v>180</c:v>
                </c:pt>
                <c:pt idx="5">
                  <c:v>200</c:v>
                </c:pt>
                <c:pt idx="6">
                  <c:v>150</c:v>
                </c:pt>
                <c:pt idx="8">
                  <c:v>150</c:v>
                </c:pt>
                <c:pt idx="9">
                  <c:v>200</c:v>
                </c:pt>
                <c:pt idx="10">
                  <c:v>90</c:v>
                </c:pt>
              </c:numCache>
            </c:numRef>
          </c:val>
          <c:extLst>
            <c:ext xmlns:c16="http://schemas.microsoft.com/office/drawing/2014/chart" uri="{C3380CC4-5D6E-409C-BE32-E72D297353CC}">
              <c16:uniqueId val="{00000000-F6A2-42F7-A546-5433C762AF63}"/>
            </c:ext>
          </c:extLst>
        </c:ser>
        <c:dLbls>
          <c:showLegendKey val="0"/>
          <c:showVal val="0"/>
          <c:showCatName val="0"/>
          <c:showSerName val="0"/>
          <c:showPercent val="0"/>
          <c:showBubbleSize val="0"/>
        </c:dLbls>
        <c:gapWidth val="75"/>
        <c:axId val="1614984224"/>
        <c:axId val="1792546656"/>
      </c:barChart>
      <c:lineChart>
        <c:grouping val="standard"/>
        <c:varyColors val="0"/>
        <c:ser>
          <c:idx val="1"/>
          <c:order val="1"/>
          <c:tx>
            <c:strRef>
              <c:f>'CColChart_Example 1'!$D$2</c:f>
              <c:strCache>
                <c:ptCount val="1"/>
                <c:pt idx="0">
                  <c:v>Target</c:v>
                </c:pt>
              </c:strCache>
            </c:strRef>
          </c:tx>
          <c:spPr>
            <a:ln w="28575" cap="rnd">
              <a:solidFill>
                <a:schemeClr val="accent2"/>
              </a:solidFill>
              <a:round/>
            </a:ln>
            <a:effectLst/>
          </c:spPr>
          <c:marker>
            <c:symbol val="none"/>
          </c:marker>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1'!$D$3:$D$13</c:f>
              <c:numCache>
                <c:formatCode>General</c:formatCode>
                <c:ptCount val="11"/>
                <c:pt idx="0">
                  <c:v>500</c:v>
                </c:pt>
                <c:pt idx="1">
                  <c:v>500</c:v>
                </c:pt>
                <c:pt idx="2">
                  <c:v>500</c:v>
                </c:pt>
                <c:pt idx="4">
                  <c:v>200</c:v>
                </c:pt>
                <c:pt idx="5">
                  <c:v>200</c:v>
                </c:pt>
                <c:pt idx="6">
                  <c:v>200</c:v>
                </c:pt>
                <c:pt idx="8">
                  <c:v>150</c:v>
                </c:pt>
                <c:pt idx="9">
                  <c:v>150</c:v>
                </c:pt>
                <c:pt idx="10">
                  <c:v>150</c:v>
                </c:pt>
              </c:numCache>
            </c:numRef>
          </c:val>
          <c:smooth val="0"/>
          <c:extLst>
            <c:ext xmlns:c16="http://schemas.microsoft.com/office/drawing/2014/chart" uri="{C3380CC4-5D6E-409C-BE32-E72D297353CC}">
              <c16:uniqueId val="{00000001-F6A2-42F7-A546-5433C762AF63}"/>
            </c:ext>
          </c:extLst>
        </c:ser>
        <c:dLbls>
          <c:showLegendKey val="0"/>
          <c:showVal val="0"/>
          <c:showCatName val="0"/>
          <c:showSerName val="0"/>
          <c:showPercent val="0"/>
          <c:showBubbleSize val="0"/>
        </c:dLbls>
        <c:marker val="1"/>
        <c:smooth val="0"/>
        <c:axId val="1614984224"/>
        <c:axId val="1792546656"/>
      </c:lineChart>
      <c:catAx>
        <c:axId val="1614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46656"/>
        <c:crosses val="autoZero"/>
        <c:auto val="1"/>
        <c:lblAlgn val="ctr"/>
        <c:lblOffset val="100"/>
        <c:noMultiLvlLbl val="0"/>
      </c:catAx>
      <c:valAx>
        <c:axId val="179254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98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t>
            </a:r>
            <a:r>
              <a:rPr lang="en-US"/>
              <a:t>Sales vs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2'!$B$1</c:f>
              <c:strCache>
                <c:ptCount val="1"/>
                <c:pt idx="0">
                  <c:v>Sales in $</c:v>
                </c:pt>
              </c:strCache>
            </c:strRef>
          </c:tx>
          <c:spPr>
            <a:solidFill>
              <a:schemeClr val="accent1"/>
            </a:solidFill>
            <a:ln>
              <a:noFill/>
            </a:ln>
            <a:effectLst/>
          </c:spPr>
          <c:invertIfNegative val="0"/>
          <c:cat>
            <c:numRef>
              <c:f>'CColChart_Example 2'!$A$2:$A$6</c:f>
              <c:numCache>
                <c:formatCode>General</c:formatCode>
                <c:ptCount val="5"/>
                <c:pt idx="0">
                  <c:v>2018</c:v>
                </c:pt>
                <c:pt idx="1">
                  <c:v>2019</c:v>
                </c:pt>
                <c:pt idx="2">
                  <c:v>2020</c:v>
                </c:pt>
                <c:pt idx="3">
                  <c:v>2021</c:v>
                </c:pt>
                <c:pt idx="4">
                  <c:v>2022</c:v>
                </c:pt>
              </c:numCache>
            </c:numRef>
          </c:cat>
          <c:val>
            <c:numRef>
              <c:f>'CColChart_Example 2'!$B$2:$B$6</c:f>
              <c:numCache>
                <c:formatCode>"$"#,##0</c:formatCode>
                <c:ptCount val="5"/>
                <c:pt idx="0">
                  <c:v>14485</c:v>
                </c:pt>
                <c:pt idx="1">
                  <c:v>15272</c:v>
                </c:pt>
                <c:pt idx="2">
                  <c:v>12398</c:v>
                </c:pt>
                <c:pt idx="3">
                  <c:v>16630</c:v>
                </c:pt>
                <c:pt idx="4">
                  <c:v>15389</c:v>
                </c:pt>
              </c:numCache>
            </c:numRef>
          </c:val>
          <c:extLst>
            <c:ext xmlns:c16="http://schemas.microsoft.com/office/drawing/2014/chart" uri="{C3380CC4-5D6E-409C-BE32-E72D297353CC}">
              <c16:uniqueId val="{00000000-98D3-43EC-B93E-CCE022341A77}"/>
            </c:ext>
          </c:extLst>
        </c:ser>
        <c:dLbls>
          <c:showLegendKey val="0"/>
          <c:showVal val="0"/>
          <c:showCatName val="0"/>
          <c:showSerName val="0"/>
          <c:showPercent val="0"/>
          <c:showBubbleSize val="0"/>
        </c:dLbls>
        <c:gapWidth val="219"/>
        <c:axId val="1719028080"/>
        <c:axId val="1792555392"/>
      </c:barChart>
      <c:lineChart>
        <c:grouping val="standard"/>
        <c:varyColors val="0"/>
        <c:ser>
          <c:idx val="1"/>
          <c:order val="1"/>
          <c:tx>
            <c:strRef>
              <c:f>'CColChart_Example 2'!$C$1</c:f>
              <c:strCache>
                <c:ptCount val="1"/>
                <c:pt idx="0">
                  <c:v>Profit Margin (%)</c:v>
                </c:pt>
              </c:strCache>
            </c:strRef>
          </c:tx>
          <c:spPr>
            <a:ln w="28575" cap="rnd">
              <a:solidFill>
                <a:schemeClr val="accent2"/>
              </a:solidFill>
              <a:round/>
            </a:ln>
            <a:effectLst/>
          </c:spPr>
          <c:marker>
            <c:symbol val="none"/>
          </c:marker>
          <c:cat>
            <c:numRef>
              <c:f>'CColChart_Example 2'!$A$2:$A$6</c:f>
              <c:numCache>
                <c:formatCode>General</c:formatCode>
                <c:ptCount val="5"/>
                <c:pt idx="0">
                  <c:v>2018</c:v>
                </c:pt>
                <c:pt idx="1">
                  <c:v>2019</c:v>
                </c:pt>
                <c:pt idx="2">
                  <c:v>2020</c:v>
                </c:pt>
                <c:pt idx="3">
                  <c:v>2021</c:v>
                </c:pt>
                <c:pt idx="4">
                  <c:v>2022</c:v>
                </c:pt>
              </c:numCache>
            </c:numRef>
          </c:cat>
          <c:val>
            <c:numRef>
              <c:f>'CColChart_Example 2'!$C$2:$C$6</c:f>
              <c:numCache>
                <c:formatCode>0.00%</c:formatCode>
                <c:ptCount val="5"/>
                <c:pt idx="0">
                  <c:v>3.9199999999999999E-2</c:v>
                </c:pt>
                <c:pt idx="1">
                  <c:v>4.2099999999999999E-2</c:v>
                </c:pt>
                <c:pt idx="2">
                  <c:v>2.5399999999999999E-2</c:v>
                </c:pt>
                <c:pt idx="3">
                  <c:v>5.91E-2</c:v>
                </c:pt>
                <c:pt idx="4">
                  <c:v>3.1600000000000003E-2</c:v>
                </c:pt>
              </c:numCache>
            </c:numRef>
          </c:val>
          <c:smooth val="0"/>
          <c:extLst>
            <c:ext xmlns:c16="http://schemas.microsoft.com/office/drawing/2014/chart" uri="{C3380CC4-5D6E-409C-BE32-E72D297353CC}">
              <c16:uniqueId val="{00000001-98D3-43EC-B93E-CCE022341A77}"/>
            </c:ext>
          </c:extLst>
        </c:ser>
        <c:dLbls>
          <c:showLegendKey val="0"/>
          <c:showVal val="0"/>
          <c:showCatName val="0"/>
          <c:showSerName val="0"/>
          <c:showPercent val="0"/>
          <c:showBubbleSize val="0"/>
        </c:dLbls>
        <c:marker val="1"/>
        <c:smooth val="0"/>
        <c:axId val="1453942608"/>
        <c:axId val="1792586176"/>
      </c:lineChart>
      <c:catAx>
        <c:axId val="17190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55392"/>
        <c:crosses val="autoZero"/>
        <c:auto val="1"/>
        <c:lblAlgn val="ctr"/>
        <c:lblOffset val="100"/>
        <c:noMultiLvlLbl val="0"/>
      </c:catAx>
      <c:valAx>
        <c:axId val="17925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028080"/>
        <c:crosses val="autoZero"/>
        <c:crossBetween val="between"/>
      </c:valAx>
      <c:valAx>
        <c:axId val="1792586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2608"/>
        <c:crosses val="max"/>
        <c:crossBetween val="between"/>
      </c:valAx>
      <c:catAx>
        <c:axId val="1453942608"/>
        <c:scaling>
          <c:orientation val="minMax"/>
        </c:scaling>
        <c:delete val="1"/>
        <c:axPos val="b"/>
        <c:numFmt formatCode="General" sourceLinked="1"/>
        <c:majorTickMark val="out"/>
        <c:minorTickMark val="none"/>
        <c:tickLblPos val="nextTo"/>
        <c:crossAx val="1792586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3-D Clustered</a:t>
            </a:r>
            <a:r>
              <a:rPr lang="en-US" sz="1200" baseline="0"/>
              <a:t> Column Chart: </a:t>
            </a:r>
            <a:r>
              <a:rPr lang="en-US" sz="1200"/>
              <a:t>Monthly Income vs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'CColChart_Example 3'!$B$1</c:f>
              <c:strCache>
                <c:ptCount val="1"/>
                <c:pt idx="0">
                  <c:v>Total Income in $</c:v>
                </c:pt>
              </c:strCache>
            </c:strRef>
          </c:tx>
          <c:spPr>
            <a:solidFill>
              <a:schemeClr val="accent1"/>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3'!$B$2:$B$7</c:f>
              <c:numCache>
                <c:formatCode>"$"#,##0</c:formatCode>
                <c:ptCount val="6"/>
                <c:pt idx="0">
                  <c:v>4485</c:v>
                </c:pt>
                <c:pt idx="1">
                  <c:v>5272</c:v>
                </c:pt>
                <c:pt idx="2">
                  <c:v>2398</c:v>
                </c:pt>
                <c:pt idx="3">
                  <c:v>6630</c:v>
                </c:pt>
                <c:pt idx="4">
                  <c:v>5389</c:v>
                </c:pt>
                <c:pt idx="5">
                  <c:v>4550</c:v>
                </c:pt>
              </c:numCache>
            </c:numRef>
          </c:val>
          <c:extLst>
            <c:ext xmlns:c16="http://schemas.microsoft.com/office/drawing/2014/chart" uri="{C3380CC4-5D6E-409C-BE32-E72D297353CC}">
              <c16:uniqueId val="{00000000-7683-431A-B092-B85316FA6B70}"/>
            </c:ext>
          </c:extLst>
        </c:ser>
        <c:ser>
          <c:idx val="1"/>
          <c:order val="1"/>
          <c:tx>
            <c:strRef>
              <c:f>'CColChart_Example 3'!$C$1</c:f>
              <c:strCache>
                <c:ptCount val="1"/>
                <c:pt idx="0">
                  <c:v>Total Savings in $</c:v>
                </c:pt>
              </c:strCache>
            </c:strRef>
          </c:tx>
          <c:spPr>
            <a:solidFill>
              <a:schemeClr val="accent2"/>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3'!$C$2:$C$7</c:f>
              <c:numCache>
                <c:formatCode>"$"#,##0</c:formatCode>
                <c:ptCount val="6"/>
                <c:pt idx="0">
                  <c:v>1400</c:v>
                </c:pt>
                <c:pt idx="1">
                  <c:v>1350</c:v>
                </c:pt>
                <c:pt idx="2">
                  <c:v>1300</c:v>
                </c:pt>
                <c:pt idx="3">
                  <c:v>2000</c:v>
                </c:pt>
                <c:pt idx="4">
                  <c:v>1000</c:v>
                </c:pt>
                <c:pt idx="5">
                  <c:v>1200</c:v>
                </c:pt>
              </c:numCache>
            </c:numRef>
          </c:val>
          <c:extLst>
            <c:ext xmlns:c16="http://schemas.microsoft.com/office/drawing/2014/chart" uri="{C3380CC4-5D6E-409C-BE32-E72D297353CC}">
              <c16:uniqueId val="{00000001-7683-431A-B092-B85316FA6B70}"/>
            </c:ext>
          </c:extLst>
        </c:ser>
        <c:dLbls>
          <c:showLegendKey val="0"/>
          <c:showVal val="0"/>
          <c:showCatName val="0"/>
          <c:showSerName val="0"/>
          <c:showPercent val="0"/>
          <c:showBubbleSize val="0"/>
        </c:dLbls>
        <c:gapWidth val="150"/>
        <c:shape val="box"/>
        <c:axId val="1453946608"/>
        <c:axId val="1792569120"/>
        <c:axId val="0"/>
      </c:bar3DChart>
      <c:catAx>
        <c:axId val="145394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69120"/>
        <c:crosses val="autoZero"/>
        <c:auto val="1"/>
        <c:lblAlgn val="ctr"/>
        <c:lblOffset val="100"/>
        <c:noMultiLvlLbl val="0"/>
      </c:catAx>
      <c:valAx>
        <c:axId val="179256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Clustered Column Chart With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CColChart_FAQ!$D$2</c:f>
              <c:strCache>
                <c:ptCount val="1"/>
                <c:pt idx="0">
                  <c:v>Units</c:v>
                </c:pt>
              </c:strCache>
            </c:strRef>
          </c:tx>
          <c:spPr>
            <a:solidFill>
              <a:schemeClr val="accent1"/>
            </a:solidFill>
            <a:ln>
              <a:noFill/>
            </a:ln>
            <a:effectLst/>
          </c:spPr>
          <c:invertIfNegative val="0"/>
          <c:cat>
            <c:strRef>
              <c:f>CColChart_FAQ!$C$3:$C$6</c:f>
              <c:strCache>
                <c:ptCount val="4"/>
                <c:pt idx="0">
                  <c:v>North</c:v>
                </c:pt>
                <c:pt idx="1">
                  <c:v>South</c:v>
                </c:pt>
                <c:pt idx="2">
                  <c:v>East</c:v>
                </c:pt>
                <c:pt idx="3">
                  <c:v>West</c:v>
                </c:pt>
              </c:strCache>
            </c:strRef>
          </c:cat>
          <c:val>
            <c:numRef>
              <c:f>CColChart_FAQ!$D$3:$D$6</c:f>
              <c:numCache>
                <c:formatCode>General</c:formatCode>
                <c:ptCount val="4"/>
                <c:pt idx="0">
                  <c:v>50</c:v>
                </c:pt>
                <c:pt idx="1">
                  <c:v>100</c:v>
                </c:pt>
                <c:pt idx="2">
                  <c:v>35</c:v>
                </c:pt>
                <c:pt idx="3">
                  <c:v>70</c:v>
                </c:pt>
              </c:numCache>
            </c:numRef>
          </c:val>
          <c:extLst>
            <c:ext xmlns:c16="http://schemas.microsoft.com/office/drawing/2014/chart" uri="{C3380CC4-5D6E-409C-BE32-E72D297353CC}">
              <c16:uniqueId val="{00000000-0008-4BCC-8FE3-9CAAEC04A463}"/>
            </c:ext>
          </c:extLst>
        </c:ser>
        <c:dLbls>
          <c:showLegendKey val="0"/>
          <c:showVal val="0"/>
          <c:showCatName val="0"/>
          <c:showSerName val="0"/>
          <c:showPercent val="0"/>
          <c:showBubbleSize val="0"/>
        </c:dLbls>
        <c:gapWidth val="219"/>
        <c:overlap val="-27"/>
        <c:axId val="1795637808"/>
        <c:axId val="1792582432"/>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CColChart_FAQ!$G$3:$G$6</c:f>
              <c:strCache>
                <c:ptCount val="4"/>
                <c:pt idx="0">
                  <c:v>50
 (15%)</c:v>
                </c:pt>
                <c:pt idx="1">
                  <c:v>100
 (45%)</c:v>
                </c:pt>
                <c:pt idx="2">
                  <c:v>35
 (10%)</c:v>
                </c:pt>
                <c:pt idx="3">
                  <c:v>70
 (30%)</c:v>
                </c:pt>
              </c:strCache>
            </c:strRef>
          </c:cat>
          <c:val>
            <c:numRef>
              <c:f>CColChart_FAQ!$F$3:$F$6</c:f>
              <c:numCache>
                <c:formatCode>General</c:formatCode>
                <c:ptCount val="4"/>
                <c:pt idx="0">
                  <c:v>57.499999999999993</c:v>
                </c:pt>
                <c:pt idx="1">
                  <c:v>114.99999999999999</c:v>
                </c:pt>
                <c:pt idx="2">
                  <c:v>40.25</c:v>
                </c:pt>
                <c:pt idx="3">
                  <c:v>80.5</c:v>
                </c:pt>
              </c:numCache>
            </c:numRef>
          </c:val>
          <c:extLst>
            <c:ext xmlns:c16="http://schemas.microsoft.com/office/drawing/2014/chart" uri="{C3380CC4-5D6E-409C-BE32-E72D297353CC}">
              <c16:uniqueId val="{00000001-0008-4BCC-8FE3-9CAAEC04A463}"/>
            </c:ext>
          </c:extLst>
        </c:ser>
        <c:dLbls>
          <c:showLegendKey val="0"/>
          <c:showVal val="0"/>
          <c:showCatName val="0"/>
          <c:showSerName val="0"/>
          <c:showPercent val="0"/>
          <c:showBubbleSize val="0"/>
        </c:dLbls>
        <c:gapWidth val="219"/>
        <c:overlap val="-27"/>
        <c:axId val="1453943408"/>
        <c:axId val="1792590752"/>
      </c:barChart>
      <c:catAx>
        <c:axId val="179563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82432"/>
        <c:crosses val="autoZero"/>
        <c:auto val="1"/>
        <c:lblAlgn val="ctr"/>
        <c:lblOffset val="100"/>
        <c:noMultiLvlLbl val="0"/>
      </c:catAx>
      <c:valAx>
        <c:axId val="1792582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37808"/>
        <c:crosses val="autoZero"/>
        <c:crossBetween val="between"/>
      </c:valAx>
      <c:valAx>
        <c:axId val="179259075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3408"/>
        <c:crosses val="max"/>
        <c:crossBetween val="between"/>
      </c:valAx>
      <c:catAx>
        <c:axId val="1453943408"/>
        <c:scaling>
          <c:orientation val="minMax"/>
        </c:scaling>
        <c:delete val="1"/>
        <c:axPos val="b"/>
        <c:numFmt formatCode="General" sourceLinked="1"/>
        <c:majorTickMark val="out"/>
        <c:minorTickMark val="none"/>
        <c:tickLblPos val="nextTo"/>
        <c:crossAx val="17925907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Probability Lognormal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'LOGNORMAL.DIST_Example 3'!$F$1</c:f>
              <c:strCache>
                <c:ptCount val="1"/>
                <c:pt idx="0">
                  <c:v>Probability Lognormal Distribution</c:v>
                </c:pt>
              </c:strCache>
            </c:strRef>
          </c:tx>
          <c:spPr>
            <a:ln w="19050" cap="rnd">
              <a:solidFill>
                <a:schemeClr val="accent1"/>
              </a:solidFill>
              <a:round/>
            </a:ln>
            <a:effectLst/>
          </c:spPr>
          <c:marker>
            <c:symbol val="none"/>
          </c:marker>
          <c:xVal>
            <c:numRef>
              <c:f>'LOGNORMAL.DIST_Example 3'!$E$2:$E$12</c:f>
              <c:numCache>
                <c:formatCode>General</c:formatCode>
                <c:ptCount val="11"/>
                <c:pt idx="0">
                  <c:v>0.02</c:v>
                </c:pt>
                <c:pt idx="1">
                  <c:v>2</c:v>
                </c:pt>
                <c:pt idx="2">
                  <c:v>4</c:v>
                </c:pt>
                <c:pt idx="3">
                  <c:v>6</c:v>
                </c:pt>
                <c:pt idx="4">
                  <c:v>8</c:v>
                </c:pt>
                <c:pt idx="5">
                  <c:v>10</c:v>
                </c:pt>
                <c:pt idx="6">
                  <c:v>12</c:v>
                </c:pt>
                <c:pt idx="7">
                  <c:v>14</c:v>
                </c:pt>
                <c:pt idx="8">
                  <c:v>16</c:v>
                </c:pt>
                <c:pt idx="9">
                  <c:v>18</c:v>
                </c:pt>
                <c:pt idx="10">
                  <c:v>20</c:v>
                </c:pt>
              </c:numCache>
            </c:numRef>
          </c:xVal>
          <c:yVal>
            <c:numRef>
              <c:f>'LOGNORMAL.DIST_Example 3'!$F$2:$F$12</c:f>
              <c:numCache>
                <c:formatCode>General</c:formatCode>
                <c:ptCount val="11"/>
                <c:pt idx="0">
                  <c:v>0.18923608757874644</c:v>
                </c:pt>
                <c:pt idx="1">
                  <c:v>9.0016360958466032E-2</c:v>
                </c:pt>
                <c:pt idx="2">
                  <c:v>5.0166204793261539E-2</c:v>
                </c:pt>
                <c:pt idx="3">
                  <c:v>3.3649364300361702E-2</c:v>
                </c:pt>
                <c:pt idx="4">
                  <c:v>2.4704371040077503E-2</c:v>
                </c:pt>
                <c:pt idx="5">
                  <c:v>1.9155982297526294E-2</c:v>
                </c:pt>
                <c:pt idx="6">
                  <c:v>1.541384537559504E-2</c:v>
                </c:pt>
                <c:pt idx="7">
                  <c:v>1.2740967920583613E-2</c:v>
                </c:pt>
                <c:pt idx="8">
                  <c:v>1.0750016136320848E-2</c:v>
                </c:pt>
                <c:pt idx="9">
                  <c:v>9.2185740172175661E-3</c:v>
                </c:pt>
                <c:pt idx="10">
                  <c:v>8.0102013635917502E-3</c:v>
                </c:pt>
              </c:numCache>
            </c:numRef>
          </c:yVal>
          <c:smooth val="1"/>
          <c:extLst>
            <c:ext xmlns:c16="http://schemas.microsoft.com/office/drawing/2014/chart" uri="{C3380CC4-5D6E-409C-BE32-E72D297353CC}">
              <c16:uniqueId val="{00000000-4ACC-4F28-9424-9863A3378121}"/>
            </c:ext>
          </c:extLst>
        </c:ser>
        <c:dLbls>
          <c:showLegendKey val="0"/>
          <c:showVal val="0"/>
          <c:showCatName val="0"/>
          <c:showSerName val="0"/>
          <c:showPercent val="0"/>
          <c:showBubbleSize val="0"/>
        </c:dLbls>
        <c:axId val="75649536"/>
        <c:axId val="331750672"/>
      </c:scatterChart>
      <c:valAx>
        <c:axId val="75649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750672"/>
        <c:crosses val="autoZero"/>
        <c:crossBetween val="midCat"/>
      </c:valAx>
      <c:valAx>
        <c:axId val="331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Probability Lognormal Distribution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9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Tally_Example!$C$5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Tally_Example!$C$6:$C$10</c:f>
              <c:numCache>
                <c:formatCode>General</c:formatCode>
                <c:ptCount val="5"/>
                <c:pt idx="0">
                  <c:v>25</c:v>
                </c:pt>
                <c:pt idx="1">
                  <c:v>30</c:v>
                </c:pt>
                <c:pt idx="2">
                  <c:v>30</c:v>
                </c:pt>
                <c:pt idx="3">
                  <c:v>20</c:v>
                </c:pt>
                <c:pt idx="4">
                  <c:v>35</c:v>
                </c:pt>
              </c:numCache>
            </c:numRef>
          </c:val>
          <c:extLst>
            <c:ext xmlns:c16="http://schemas.microsoft.com/office/drawing/2014/chart" uri="{C3380CC4-5D6E-409C-BE32-E72D297353CC}">
              <c16:uniqueId val="{00000000-2573-412C-B14F-38E13C2271BB}"/>
            </c:ext>
          </c:extLst>
        </c:ser>
        <c:ser>
          <c:idx val="1"/>
          <c:order val="1"/>
          <c:tx>
            <c:strRef>
              <c:f>Tally_Example!$D$5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Tally_Example!$D$6:$D$10</c:f>
              <c:numCache>
                <c:formatCode>General</c:formatCode>
                <c:ptCount val="5"/>
                <c:pt idx="0">
                  <c:v>3</c:v>
                </c:pt>
                <c:pt idx="1">
                  <c:v>0</c:v>
                </c:pt>
                <c:pt idx="2">
                  <c:v>3</c:v>
                </c:pt>
                <c:pt idx="3">
                  <c:v>2</c:v>
                </c:pt>
                <c:pt idx="4">
                  <c:v>4</c:v>
                </c:pt>
              </c:numCache>
            </c:numRef>
          </c:val>
          <c:extLst>
            <c:ext xmlns:c16="http://schemas.microsoft.com/office/drawing/2014/chart" uri="{C3380CC4-5D6E-409C-BE32-E72D297353CC}">
              <c16:uniqueId val="{00000001-2573-412C-B14F-38E13C2271BB}"/>
            </c:ext>
          </c:extLst>
        </c:ser>
        <c:dLbls>
          <c:showLegendKey val="0"/>
          <c:showVal val="0"/>
          <c:showCatName val="0"/>
          <c:showSerName val="0"/>
          <c:showPercent val="0"/>
          <c:showBubbleSize val="0"/>
        </c:dLbls>
        <c:gapWidth val="0"/>
        <c:overlap val="100"/>
        <c:axId val="754827936"/>
        <c:axId val="1050767248"/>
      </c:barChart>
      <c:catAx>
        <c:axId val="754827936"/>
        <c:scaling>
          <c:orientation val="maxMin"/>
        </c:scaling>
        <c:delete val="1"/>
        <c:axPos val="l"/>
        <c:majorTickMark val="none"/>
        <c:minorTickMark val="none"/>
        <c:tickLblPos val="nextTo"/>
        <c:crossAx val="1050767248"/>
        <c:crosses val="autoZero"/>
        <c:auto val="1"/>
        <c:lblAlgn val="ctr"/>
        <c:lblOffset val="100"/>
        <c:noMultiLvlLbl val="0"/>
      </c:catAx>
      <c:valAx>
        <c:axId val="1050767248"/>
        <c:scaling>
          <c:orientation val="minMax"/>
        </c:scaling>
        <c:delete val="1"/>
        <c:axPos val="t"/>
        <c:numFmt formatCode="General" sourceLinked="1"/>
        <c:majorTickMark val="none"/>
        <c:minorTickMark val="none"/>
        <c:tickLblPos val="nextTo"/>
        <c:crossAx val="7548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Tally_Use!$C$5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Tally_Use!$C$6:$C$9</c:f>
              <c:numCache>
                <c:formatCode>General</c:formatCode>
                <c:ptCount val="4"/>
                <c:pt idx="0">
                  <c:v>40</c:v>
                </c:pt>
                <c:pt idx="1">
                  <c:v>45</c:v>
                </c:pt>
                <c:pt idx="2">
                  <c:v>30</c:v>
                </c:pt>
                <c:pt idx="3">
                  <c:v>55</c:v>
                </c:pt>
              </c:numCache>
            </c:numRef>
          </c:val>
          <c:extLst>
            <c:ext xmlns:c16="http://schemas.microsoft.com/office/drawing/2014/chart" uri="{C3380CC4-5D6E-409C-BE32-E72D297353CC}">
              <c16:uniqueId val="{00000000-9802-4CD2-9B4C-735F2DF4C0ED}"/>
            </c:ext>
          </c:extLst>
        </c:ser>
        <c:ser>
          <c:idx val="1"/>
          <c:order val="1"/>
          <c:tx>
            <c:strRef>
              <c:f>Tally_Use!$D$5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Tally_Use!$D$6:$D$9</c:f>
              <c:numCache>
                <c:formatCode>General</c:formatCode>
                <c:ptCount val="4"/>
                <c:pt idx="0">
                  <c:v>2</c:v>
                </c:pt>
                <c:pt idx="1">
                  <c:v>3</c:v>
                </c:pt>
                <c:pt idx="2">
                  <c:v>4</c:v>
                </c:pt>
                <c:pt idx="3">
                  <c:v>2</c:v>
                </c:pt>
              </c:numCache>
            </c:numRef>
          </c:val>
          <c:extLst>
            <c:ext xmlns:c16="http://schemas.microsoft.com/office/drawing/2014/chart" uri="{C3380CC4-5D6E-409C-BE32-E72D297353CC}">
              <c16:uniqueId val="{00000001-9802-4CD2-9B4C-735F2DF4C0ED}"/>
            </c:ext>
          </c:extLst>
        </c:ser>
        <c:dLbls>
          <c:showLegendKey val="0"/>
          <c:showVal val="0"/>
          <c:showCatName val="0"/>
          <c:showSerName val="0"/>
          <c:showPercent val="0"/>
          <c:showBubbleSize val="0"/>
        </c:dLbls>
        <c:gapWidth val="0"/>
        <c:overlap val="100"/>
        <c:axId val="1020671856"/>
        <c:axId val="1050778896"/>
      </c:barChart>
      <c:catAx>
        <c:axId val="1020671856"/>
        <c:scaling>
          <c:orientation val="maxMin"/>
        </c:scaling>
        <c:delete val="1"/>
        <c:axPos val="l"/>
        <c:majorTickMark val="none"/>
        <c:minorTickMark val="none"/>
        <c:tickLblPos val="nextTo"/>
        <c:crossAx val="1050778896"/>
        <c:crosses val="autoZero"/>
        <c:auto val="1"/>
        <c:lblAlgn val="ctr"/>
        <c:lblOffset val="100"/>
        <c:noMultiLvlLbl val="0"/>
      </c:catAx>
      <c:valAx>
        <c:axId val="1050778896"/>
        <c:scaling>
          <c:orientation val="minMax"/>
        </c:scaling>
        <c:delete val="1"/>
        <c:axPos val="t"/>
        <c:numFmt formatCode="General" sourceLinked="1"/>
        <c:majorTickMark val="none"/>
        <c:minorTickMark val="none"/>
        <c:tickLblPos val="nextTo"/>
        <c:crossAx val="10206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8556304138597E-3"/>
          <c:y val="0"/>
          <c:w val="0.99615014436958615"/>
          <c:h val="1"/>
        </c:manualLayout>
      </c:layout>
      <c:barChart>
        <c:barDir val="bar"/>
        <c:grouping val="stacked"/>
        <c:varyColors val="0"/>
        <c:ser>
          <c:idx val="0"/>
          <c:order val="0"/>
          <c:tx>
            <c:strRef>
              <c:f>'Tally_Example 1'!$C$5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1'!$C$6:$C$9</c:f>
              <c:numCache>
                <c:formatCode>General</c:formatCode>
                <c:ptCount val="4"/>
                <c:pt idx="0">
                  <c:v>55</c:v>
                </c:pt>
                <c:pt idx="1">
                  <c:v>35</c:v>
                </c:pt>
                <c:pt idx="2">
                  <c:v>20</c:v>
                </c:pt>
                <c:pt idx="3">
                  <c:v>15</c:v>
                </c:pt>
              </c:numCache>
            </c:numRef>
          </c:val>
          <c:extLst>
            <c:ext xmlns:c16="http://schemas.microsoft.com/office/drawing/2014/chart" uri="{C3380CC4-5D6E-409C-BE32-E72D297353CC}">
              <c16:uniqueId val="{00000000-E019-4064-8794-97ACC830808F}"/>
            </c:ext>
          </c:extLst>
        </c:ser>
        <c:ser>
          <c:idx val="1"/>
          <c:order val="1"/>
          <c:tx>
            <c:strRef>
              <c:f>'Tally_Example 1'!$D$5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1'!$D$6:$D$9</c:f>
              <c:numCache>
                <c:formatCode>General</c:formatCode>
                <c:ptCount val="4"/>
                <c:pt idx="0">
                  <c:v>3</c:v>
                </c:pt>
                <c:pt idx="1">
                  <c:v>4</c:v>
                </c:pt>
                <c:pt idx="2">
                  <c:v>1</c:v>
                </c:pt>
                <c:pt idx="3">
                  <c:v>0</c:v>
                </c:pt>
              </c:numCache>
            </c:numRef>
          </c:val>
          <c:extLst>
            <c:ext xmlns:c16="http://schemas.microsoft.com/office/drawing/2014/chart" uri="{C3380CC4-5D6E-409C-BE32-E72D297353CC}">
              <c16:uniqueId val="{00000001-E019-4064-8794-97ACC830808F}"/>
            </c:ext>
          </c:extLst>
        </c:ser>
        <c:dLbls>
          <c:showLegendKey val="0"/>
          <c:showVal val="0"/>
          <c:showCatName val="0"/>
          <c:showSerName val="0"/>
          <c:showPercent val="0"/>
          <c:showBubbleSize val="0"/>
        </c:dLbls>
        <c:gapWidth val="0"/>
        <c:overlap val="100"/>
        <c:axId val="1936187823"/>
        <c:axId val="13521087"/>
      </c:barChart>
      <c:catAx>
        <c:axId val="1936187823"/>
        <c:scaling>
          <c:orientation val="maxMin"/>
        </c:scaling>
        <c:delete val="1"/>
        <c:axPos val="l"/>
        <c:majorTickMark val="none"/>
        <c:minorTickMark val="none"/>
        <c:tickLblPos val="nextTo"/>
        <c:crossAx val="13521087"/>
        <c:crosses val="autoZero"/>
        <c:auto val="1"/>
        <c:lblAlgn val="ctr"/>
        <c:lblOffset val="100"/>
        <c:noMultiLvlLbl val="0"/>
      </c:catAx>
      <c:valAx>
        <c:axId val="13521087"/>
        <c:scaling>
          <c:orientation val="minMax"/>
        </c:scaling>
        <c:delete val="1"/>
        <c:axPos val="t"/>
        <c:numFmt formatCode="General" sourceLinked="1"/>
        <c:majorTickMark val="none"/>
        <c:minorTickMark val="none"/>
        <c:tickLblPos val="nextTo"/>
        <c:crossAx val="19361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2138589225203406E-3"/>
          <c:w val="1"/>
          <c:h val="0.99178644763860369"/>
        </c:manualLayout>
      </c:layout>
      <c:barChart>
        <c:barDir val="bar"/>
        <c:grouping val="stacked"/>
        <c:varyColors val="0"/>
        <c:ser>
          <c:idx val="0"/>
          <c:order val="0"/>
          <c:tx>
            <c:strRef>
              <c:f>'Tally_Example 2'!$C$5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2'!$C$6:$C$9</c:f>
              <c:numCache>
                <c:formatCode>General</c:formatCode>
                <c:ptCount val="4"/>
                <c:pt idx="0">
                  <c:v>10</c:v>
                </c:pt>
                <c:pt idx="1">
                  <c:v>20</c:v>
                </c:pt>
                <c:pt idx="2">
                  <c:v>5</c:v>
                </c:pt>
                <c:pt idx="3">
                  <c:v>15</c:v>
                </c:pt>
              </c:numCache>
            </c:numRef>
          </c:val>
          <c:extLst>
            <c:ext xmlns:c16="http://schemas.microsoft.com/office/drawing/2014/chart" uri="{C3380CC4-5D6E-409C-BE32-E72D297353CC}">
              <c16:uniqueId val="{00000000-799B-48B4-8011-DC131E0E1262}"/>
            </c:ext>
          </c:extLst>
        </c:ser>
        <c:ser>
          <c:idx val="1"/>
          <c:order val="1"/>
          <c:tx>
            <c:strRef>
              <c:f>'Tally_Example 2'!$D$5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2'!$D$6:$D$9</c:f>
              <c:numCache>
                <c:formatCode>General</c:formatCode>
                <c:ptCount val="4"/>
                <c:pt idx="0">
                  <c:v>3</c:v>
                </c:pt>
                <c:pt idx="1">
                  <c:v>2</c:v>
                </c:pt>
                <c:pt idx="2">
                  <c:v>4</c:v>
                </c:pt>
                <c:pt idx="3">
                  <c:v>2</c:v>
                </c:pt>
              </c:numCache>
            </c:numRef>
          </c:val>
          <c:extLst>
            <c:ext xmlns:c16="http://schemas.microsoft.com/office/drawing/2014/chart" uri="{C3380CC4-5D6E-409C-BE32-E72D297353CC}">
              <c16:uniqueId val="{00000001-799B-48B4-8011-DC131E0E1262}"/>
            </c:ext>
          </c:extLst>
        </c:ser>
        <c:dLbls>
          <c:showLegendKey val="0"/>
          <c:showVal val="0"/>
          <c:showCatName val="0"/>
          <c:showSerName val="0"/>
          <c:showPercent val="0"/>
          <c:showBubbleSize val="0"/>
        </c:dLbls>
        <c:gapWidth val="0"/>
        <c:overlap val="100"/>
        <c:axId val="93738687"/>
        <c:axId val="96529279"/>
      </c:barChart>
      <c:catAx>
        <c:axId val="93738687"/>
        <c:scaling>
          <c:orientation val="maxMin"/>
        </c:scaling>
        <c:delete val="1"/>
        <c:axPos val="l"/>
        <c:majorTickMark val="none"/>
        <c:minorTickMark val="none"/>
        <c:tickLblPos val="nextTo"/>
        <c:crossAx val="96529279"/>
        <c:crosses val="autoZero"/>
        <c:auto val="1"/>
        <c:lblAlgn val="ctr"/>
        <c:lblOffset val="100"/>
        <c:noMultiLvlLbl val="0"/>
      </c:catAx>
      <c:valAx>
        <c:axId val="96529279"/>
        <c:scaling>
          <c:orientation val="minMax"/>
        </c:scaling>
        <c:delete val="1"/>
        <c:axPos val="t"/>
        <c:numFmt formatCode="General" sourceLinked="1"/>
        <c:majorTickMark val="none"/>
        <c:minorTickMark val="none"/>
        <c:tickLblPos val="nextTo"/>
        <c:crossAx val="9373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7001675041876048E-3"/>
          <c:w val="0.99999999999999989"/>
          <c:h val="0.99329983249581244"/>
        </c:manualLayout>
      </c:layout>
      <c:barChart>
        <c:barDir val="bar"/>
        <c:grouping val="stacked"/>
        <c:varyColors val="0"/>
        <c:ser>
          <c:idx val="0"/>
          <c:order val="0"/>
          <c:tx>
            <c:strRef>
              <c:f>'Tally_Example 3'!$C$5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3'!$C$6:$C$10</c:f>
              <c:numCache>
                <c:formatCode>General</c:formatCode>
                <c:ptCount val="5"/>
                <c:pt idx="0">
                  <c:v>30</c:v>
                </c:pt>
                <c:pt idx="1">
                  <c:v>45</c:v>
                </c:pt>
                <c:pt idx="2">
                  <c:v>60</c:v>
                </c:pt>
                <c:pt idx="3">
                  <c:v>50</c:v>
                </c:pt>
                <c:pt idx="4">
                  <c:v>30</c:v>
                </c:pt>
              </c:numCache>
            </c:numRef>
          </c:val>
          <c:extLst>
            <c:ext xmlns:c16="http://schemas.microsoft.com/office/drawing/2014/chart" uri="{C3380CC4-5D6E-409C-BE32-E72D297353CC}">
              <c16:uniqueId val="{00000000-36BD-4781-860F-54D54CC0DE12}"/>
            </c:ext>
          </c:extLst>
        </c:ser>
        <c:ser>
          <c:idx val="1"/>
          <c:order val="1"/>
          <c:tx>
            <c:strRef>
              <c:f>'Tally_Example 3'!$D$5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3'!$D$6:$D$10</c:f>
              <c:numCache>
                <c:formatCode>General</c:formatCode>
                <c:ptCount val="5"/>
                <c:pt idx="0">
                  <c:v>2</c:v>
                </c:pt>
                <c:pt idx="1">
                  <c:v>4</c:v>
                </c:pt>
                <c:pt idx="2">
                  <c:v>0</c:v>
                </c:pt>
                <c:pt idx="3">
                  <c:v>1</c:v>
                </c:pt>
                <c:pt idx="4">
                  <c:v>3</c:v>
                </c:pt>
              </c:numCache>
            </c:numRef>
          </c:val>
          <c:extLst>
            <c:ext xmlns:c16="http://schemas.microsoft.com/office/drawing/2014/chart" uri="{C3380CC4-5D6E-409C-BE32-E72D297353CC}">
              <c16:uniqueId val="{00000001-36BD-4781-860F-54D54CC0DE12}"/>
            </c:ext>
          </c:extLst>
        </c:ser>
        <c:dLbls>
          <c:showLegendKey val="0"/>
          <c:showVal val="0"/>
          <c:showCatName val="0"/>
          <c:showSerName val="0"/>
          <c:showPercent val="0"/>
          <c:showBubbleSize val="0"/>
        </c:dLbls>
        <c:gapWidth val="0"/>
        <c:overlap val="100"/>
        <c:axId val="93723087"/>
        <c:axId val="96508479"/>
      </c:barChart>
      <c:catAx>
        <c:axId val="93723087"/>
        <c:scaling>
          <c:orientation val="maxMin"/>
        </c:scaling>
        <c:delete val="1"/>
        <c:axPos val="l"/>
        <c:majorTickMark val="none"/>
        <c:minorTickMark val="none"/>
        <c:tickLblPos val="nextTo"/>
        <c:crossAx val="96508479"/>
        <c:crosses val="autoZero"/>
        <c:auto val="1"/>
        <c:lblAlgn val="ctr"/>
        <c:lblOffset val="100"/>
        <c:noMultiLvlLbl val="0"/>
      </c:catAx>
      <c:valAx>
        <c:axId val="96508479"/>
        <c:scaling>
          <c:orientation val="minMax"/>
        </c:scaling>
        <c:delete val="1"/>
        <c:axPos val="t"/>
        <c:numFmt formatCode="General" sourceLinked="1"/>
        <c:majorTickMark val="none"/>
        <c:minorTickMark val="none"/>
        <c:tickLblPos val="nextTo"/>
        <c:crossAx val="9372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Tally_FAQ!$C$5</c:f>
              <c:strCache>
                <c:ptCount val="1"/>
                <c:pt idx="0">
                  <c:v>Groups (ROUNDDOWN(Count/5,0)*5)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Tally_FAQ!$C$6:$C$9</c:f>
              <c:numCache>
                <c:formatCode>General</c:formatCode>
                <c:ptCount val="4"/>
                <c:pt idx="0">
                  <c:v>5</c:v>
                </c:pt>
                <c:pt idx="1">
                  <c:v>10</c:v>
                </c:pt>
                <c:pt idx="2">
                  <c:v>20</c:v>
                </c:pt>
                <c:pt idx="3">
                  <c:v>25</c:v>
                </c:pt>
              </c:numCache>
            </c:numRef>
          </c:val>
          <c:extLst>
            <c:ext xmlns:c16="http://schemas.microsoft.com/office/drawing/2014/chart" uri="{C3380CC4-5D6E-409C-BE32-E72D297353CC}">
              <c16:uniqueId val="{00000000-CCDD-4421-98E6-B65DF2C09B8D}"/>
            </c:ext>
          </c:extLst>
        </c:ser>
        <c:ser>
          <c:idx val="1"/>
          <c:order val="1"/>
          <c:tx>
            <c:strRef>
              <c:f>Tally_FAQ!$D$5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Tally_FAQ!$D$6:$D$9</c:f>
              <c:numCache>
                <c:formatCode>General</c:formatCode>
                <c:ptCount val="4"/>
                <c:pt idx="0">
                  <c:v>1</c:v>
                </c:pt>
                <c:pt idx="1">
                  <c:v>4</c:v>
                </c:pt>
                <c:pt idx="2">
                  <c:v>3</c:v>
                </c:pt>
                <c:pt idx="3">
                  <c:v>2</c:v>
                </c:pt>
              </c:numCache>
            </c:numRef>
          </c:val>
          <c:extLst>
            <c:ext xmlns:c16="http://schemas.microsoft.com/office/drawing/2014/chart" uri="{C3380CC4-5D6E-409C-BE32-E72D297353CC}">
              <c16:uniqueId val="{00000001-CCDD-4421-98E6-B65DF2C09B8D}"/>
            </c:ext>
          </c:extLst>
        </c:ser>
        <c:dLbls>
          <c:showLegendKey val="0"/>
          <c:showVal val="0"/>
          <c:showCatName val="0"/>
          <c:showSerName val="0"/>
          <c:showPercent val="0"/>
          <c:showBubbleSize val="0"/>
        </c:dLbls>
        <c:gapWidth val="0"/>
        <c:overlap val="100"/>
        <c:axId val="93740287"/>
        <c:axId val="96508895"/>
      </c:barChart>
      <c:catAx>
        <c:axId val="93740287"/>
        <c:scaling>
          <c:orientation val="maxMin"/>
        </c:scaling>
        <c:delete val="1"/>
        <c:axPos val="l"/>
        <c:majorTickMark val="none"/>
        <c:minorTickMark val="none"/>
        <c:tickLblPos val="nextTo"/>
        <c:crossAx val="96508895"/>
        <c:crosses val="autoZero"/>
        <c:auto val="1"/>
        <c:lblAlgn val="ctr"/>
        <c:lblOffset val="100"/>
        <c:noMultiLvlLbl val="0"/>
      </c:catAx>
      <c:valAx>
        <c:axId val="96508895"/>
        <c:scaling>
          <c:orientation val="minMax"/>
        </c:scaling>
        <c:delete val="1"/>
        <c:axPos val="t"/>
        <c:numFmt formatCode="General" sourceLinked="1"/>
        <c:majorTickMark val="none"/>
        <c:minorTickMark val="none"/>
        <c:tickLblPos val="nextTo"/>
        <c:crossAx val="937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Bubble Chart: Product Share In</a:t>
            </a:r>
            <a:r>
              <a:rPr lang="en-US" b="1" baseline="0"/>
              <a:t> Market</a:t>
            </a:r>
            <a:endParaRPr lang="en-US" b="1"/>
          </a:p>
        </c:rich>
      </c:tx>
      <c:overlay val="0"/>
      <c:spPr>
        <a:noFill/>
        <a:ln>
          <a:noFill/>
        </a:ln>
        <a:effectLst/>
      </c:spPr>
    </c:title>
    <c:autoTitleDeleted val="0"/>
    <c:plotArea>
      <c:layout/>
      <c:bubbleChart>
        <c:varyColors val="1"/>
        <c:ser>
          <c:idx val="0"/>
          <c:order val="0"/>
          <c:tx>
            <c:strRef>
              <c:f>Bubble_Example!$C$1</c:f>
              <c:strCache>
                <c:ptCount val="1"/>
                <c:pt idx="0">
                  <c:v>Price in $</c:v>
                </c:pt>
              </c:strCache>
            </c:strRef>
          </c:tx>
          <c:spPr>
            <a:solidFill>
              <a:schemeClr val="accent1">
                <a:alpha val="75000"/>
              </a:schemeClr>
            </a:solidFill>
            <a:ln>
              <a:solidFill>
                <a:schemeClr val="tx1"/>
              </a:solidFill>
            </a:ln>
            <a:effectLst/>
          </c:spPr>
          <c:invertIfNegative val="0"/>
          <c:dPt>
            <c:idx val="4"/>
            <c:invertIfNegative val="0"/>
            <c:bubble3D val="0"/>
            <c:spPr>
              <a:solidFill>
                <a:srgbClr val="0CA0A0"/>
              </a:solidFill>
              <a:ln>
                <a:solidFill>
                  <a:schemeClr val="tx1"/>
                </a:solidFill>
              </a:ln>
              <a:effectLst/>
            </c:spPr>
            <c:extLst>
              <c:ext xmlns:c16="http://schemas.microsoft.com/office/drawing/2014/chart" uri="{C3380CC4-5D6E-409C-BE32-E72D297353CC}">
                <c16:uniqueId val="{00000003-0220-4D63-A340-09444FB4728A}"/>
              </c:ext>
            </c:extLst>
          </c:dPt>
          <c:dLbls>
            <c:dLbl>
              <c:idx val="0"/>
              <c:layout>
                <c:manualLayout>
                  <c:x val="-1.1111111111111212E-2"/>
                  <c:y val="4.1666666666666664E-2"/>
                </c:manualLayout>
              </c:layout>
              <c:tx>
                <c:rich>
                  <a:bodyPr/>
                  <a:lstStyle/>
                  <a:p>
                    <a:fld id="{840CA6B5-08CE-4E18-9D93-3BFC9C369E0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20-4D63-A340-09444FB4728A}"/>
                </c:ext>
              </c:extLst>
            </c:dLbl>
            <c:dLbl>
              <c:idx val="1"/>
              <c:layout>
                <c:manualLayout>
                  <c:x val="-1.1111111111111112E-2"/>
                  <c:y val="4.6296296296296294E-2"/>
                </c:manualLayout>
              </c:layout>
              <c:tx>
                <c:rich>
                  <a:bodyPr/>
                  <a:lstStyle/>
                  <a:p>
                    <a:fld id="{2FE5F98A-34C6-4FBC-8410-09503E62209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20-4D63-A340-09444FB4728A}"/>
                </c:ext>
              </c:extLst>
            </c:dLbl>
            <c:dLbl>
              <c:idx val="2"/>
              <c:layout>
                <c:manualLayout>
                  <c:x val="-1.1111111111111212E-2"/>
                  <c:y val="4.1666666666666755E-2"/>
                </c:manualLayout>
              </c:layout>
              <c:tx>
                <c:rich>
                  <a:bodyPr/>
                  <a:lstStyle/>
                  <a:p>
                    <a:fld id="{3BC087F6-A777-40FE-9FB3-E2B9FC0B9EF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20-4D63-A340-09444FB4728A}"/>
                </c:ext>
              </c:extLst>
            </c:dLbl>
            <c:dLbl>
              <c:idx val="3"/>
              <c:layout>
                <c:manualLayout>
                  <c:x val="-1.6666666666666767E-2"/>
                  <c:y val="5.5555555555555469E-2"/>
                </c:manualLayout>
              </c:layout>
              <c:tx>
                <c:rich>
                  <a:bodyPr/>
                  <a:lstStyle/>
                  <a:p>
                    <a:fld id="{2028E831-A8BB-4648-814C-834EA22B294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20-4D63-A340-09444FB4728A}"/>
                </c:ext>
              </c:extLst>
            </c:dLbl>
            <c:dLbl>
              <c:idx val="4"/>
              <c:layout>
                <c:manualLayout>
                  <c:x val="-8.3333333333333332E-3"/>
                  <c:y val="4.1666666666666664E-2"/>
                </c:manualLayout>
              </c:layout>
              <c:tx>
                <c:rich>
                  <a:bodyPr/>
                  <a:lstStyle/>
                  <a:p>
                    <a:fld id="{E0157EC8-76A8-4BE7-8539-4A2336AE866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20-4D63-A340-09444FB472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5="http://schemas.microsoft.com/office/drawing/2012/chart" uri="{02D57815-91ED-43cb-92C2-25804820EDAC}">
              <c15:datalabelsRange>
                <c15:f>Bubble_Example!$A$2:$A$6</c15:f>
                <c15:dlblRangeCache>
                  <c:ptCount val="5"/>
                  <c:pt idx="0">
                    <c:v>Product 1</c:v>
                  </c:pt>
                  <c:pt idx="1">
                    <c:v>Product 2</c:v>
                  </c:pt>
                  <c:pt idx="2">
                    <c:v>Product 3</c:v>
                  </c:pt>
                  <c:pt idx="3">
                    <c:v>Product 4</c:v>
                  </c:pt>
                  <c:pt idx="4">
                    <c:v>Product 5</c:v>
                  </c:pt>
                </c15:dlblRangeCache>
              </c15:datalabelsRange>
            </c:ext>
            <c:ext xmlns:c16="http://schemas.microsoft.com/office/drawing/2014/chart" uri="{C3380CC4-5D6E-409C-BE32-E72D297353CC}">
              <c16:uniqueId val="{00000000-0220-4D63-A340-09444FB4728A}"/>
            </c:ext>
          </c:extLst>
        </c:ser>
        <c:ser>
          <c:idx val="1"/>
          <c:order val="1"/>
          <c:tx>
            <c:strRef>
              <c:f>Bubble_Example!$D$1</c:f>
              <c:strCache>
                <c:ptCount val="1"/>
                <c:pt idx="0">
                  <c:v>Market Share in %</c:v>
                </c:pt>
              </c:strCache>
            </c:strRef>
          </c:tx>
          <c:spPr>
            <a:solidFill>
              <a:srgbClr val="0CA0A0"/>
            </a:solidFill>
            <a:ln>
              <a:solidFill>
                <a:schemeClr val="tx1"/>
              </a:solidFill>
            </a:ln>
            <a:effectLst/>
          </c:spPr>
          <c:invertIfNegative val="0"/>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6="http://schemas.microsoft.com/office/drawing/2014/chart" uri="{C3380CC4-5D6E-409C-BE32-E72D297353CC}">
              <c16:uniqueId val="{0000000B-0220-4D63-A340-09444FB4728A}"/>
            </c:ext>
          </c:extLst>
        </c:ser>
        <c:dLbls>
          <c:showLegendKey val="0"/>
          <c:showVal val="0"/>
          <c:showCatName val="0"/>
          <c:showSerName val="0"/>
          <c:showPercent val="0"/>
          <c:showBubbleSize val="0"/>
        </c:dLbls>
        <c:bubbleScale val="100"/>
        <c:showNegBubbles val="0"/>
        <c:axId val="763750223"/>
        <c:axId val="668776767"/>
      </c:bubbleChart>
      <c:valAx>
        <c:axId val="763750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6767"/>
        <c:crosses val="autoZero"/>
        <c:crossBetween val="midCat"/>
      </c:valAx>
      <c:valAx>
        <c:axId val="668776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in $</a:t>
                </a:r>
              </a:p>
            </c:rich>
          </c:tx>
          <c:overlay val="0"/>
          <c:spPr>
            <a:noFill/>
            <a:ln>
              <a:noFill/>
            </a:ln>
            <a:effectLst/>
          </c:sp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0223"/>
        <c:crosses val="autoZero"/>
        <c:crossBetween val="midCat"/>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Project Profit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Bubble_Create!$D$1</c:f>
              <c:strCache>
                <c:ptCount val="1"/>
                <c:pt idx="0">
                  <c:v>Profit Rate in %</c:v>
                </c:pt>
              </c:strCache>
            </c:strRef>
          </c:tx>
          <c:spPr>
            <a:solidFill>
              <a:schemeClr val="accent1">
                <a:alpha val="75000"/>
              </a:schemeClr>
            </a:solidFill>
            <a:ln>
              <a:noFill/>
            </a:ln>
            <a:effectLst/>
          </c:spPr>
          <c:invertIfNegative val="0"/>
          <c:xVal>
            <c:numRef>
              <c:f>Bubble_Create!$B$2:$B$6</c:f>
              <c:numCache>
                <c:formatCode>"$"#,##0</c:formatCode>
                <c:ptCount val="5"/>
                <c:pt idx="0">
                  <c:v>110000</c:v>
                </c:pt>
                <c:pt idx="1">
                  <c:v>380000</c:v>
                </c:pt>
                <c:pt idx="2">
                  <c:v>240000</c:v>
                </c:pt>
                <c:pt idx="3">
                  <c:v>450000</c:v>
                </c:pt>
                <c:pt idx="4">
                  <c:v>590000</c:v>
                </c:pt>
              </c:numCache>
            </c:numRef>
          </c:xVal>
          <c:yVal>
            <c:numRef>
              <c:f>Bubble_Create!$C$2:$C$6</c:f>
              <c:numCache>
                <c:formatCode>"$"#,##0</c:formatCode>
                <c:ptCount val="5"/>
                <c:pt idx="0">
                  <c:v>11500</c:v>
                </c:pt>
                <c:pt idx="1">
                  <c:v>15040</c:v>
                </c:pt>
                <c:pt idx="2">
                  <c:v>10000</c:v>
                </c:pt>
                <c:pt idx="3">
                  <c:v>13730</c:v>
                </c:pt>
                <c:pt idx="4">
                  <c:v>20000</c:v>
                </c:pt>
              </c:numCache>
            </c:numRef>
          </c:yVal>
          <c:bubbleSize>
            <c:numRef>
              <c:f>Bubble_Create!$D$2:$D$6</c:f>
              <c:numCache>
                <c:formatCode>0%</c:formatCode>
                <c:ptCount val="5"/>
                <c:pt idx="0">
                  <c:v>0.2</c:v>
                </c:pt>
                <c:pt idx="1">
                  <c:v>0.15</c:v>
                </c:pt>
                <c:pt idx="2">
                  <c:v>0.1</c:v>
                </c:pt>
                <c:pt idx="3">
                  <c:v>0.05</c:v>
                </c:pt>
                <c:pt idx="4">
                  <c:v>0.3</c:v>
                </c:pt>
              </c:numCache>
            </c:numRef>
          </c:bubbleSize>
          <c:bubble3D val="0"/>
          <c:extLst>
            <c:ext xmlns:c16="http://schemas.microsoft.com/office/drawing/2014/chart" uri="{C3380CC4-5D6E-409C-BE32-E72D297353CC}">
              <c16:uniqueId val="{00000000-40BF-42F8-B4EE-75443B57E9C9}"/>
            </c:ext>
          </c:extLst>
        </c:ser>
        <c:dLbls>
          <c:showLegendKey val="0"/>
          <c:showVal val="0"/>
          <c:showCatName val="0"/>
          <c:showSerName val="0"/>
          <c:showPercent val="0"/>
          <c:showBubbleSize val="0"/>
        </c:dLbls>
        <c:bubbleScale val="100"/>
        <c:showNegBubbles val="0"/>
        <c:axId val="762972303"/>
        <c:axId val="668847903"/>
      </c:bubbleChart>
      <c:valAx>
        <c:axId val="762972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7903"/>
        <c:crosses val="autoZero"/>
        <c:crossBetween val="midCat"/>
      </c:valAx>
      <c:valAx>
        <c:axId val="66884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723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Ad-wise Total Revenue Generated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'Bubble_Example 1'!$D$1</c:f>
              <c:strCache>
                <c:ptCount val="1"/>
                <c:pt idx="0">
                  <c:v>Total Revenue Generated in $</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3-0CB3-409D-861A-D4C19968999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4-0CB3-409D-861A-D4C19968999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0CB3-409D-861A-D4C19968999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6-0CB3-409D-861A-D4C19968999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7-0CB3-409D-861A-D4C19968999B}"/>
              </c:ext>
            </c:extLst>
          </c:dPt>
          <c:dLbls>
            <c:dLbl>
              <c:idx val="0"/>
              <c:tx>
                <c:rich>
                  <a:bodyPr/>
                  <a:lstStyle/>
                  <a:p>
                    <a:fld id="{0A3E2AA0-BBFD-4676-BFC5-FEDF5511A88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B3-409D-861A-D4C19968999B}"/>
                </c:ext>
              </c:extLst>
            </c:dLbl>
            <c:dLbl>
              <c:idx val="1"/>
              <c:tx>
                <c:rich>
                  <a:bodyPr/>
                  <a:lstStyle/>
                  <a:p>
                    <a:fld id="{9F05B624-2D24-4671-B480-74CD415B0A0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B3-409D-861A-D4C19968999B}"/>
                </c:ext>
              </c:extLst>
            </c:dLbl>
            <c:dLbl>
              <c:idx val="2"/>
              <c:tx>
                <c:rich>
                  <a:bodyPr/>
                  <a:lstStyle/>
                  <a:p>
                    <a:fld id="{B407E40D-891D-4705-8286-7CC94988C26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B3-409D-861A-D4C19968999B}"/>
                </c:ext>
              </c:extLst>
            </c:dLbl>
            <c:dLbl>
              <c:idx val="3"/>
              <c:tx>
                <c:rich>
                  <a:bodyPr/>
                  <a:lstStyle/>
                  <a:p>
                    <a:fld id="{328AD0A2-FE14-444B-9DBD-066B4B66F95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B3-409D-861A-D4C19968999B}"/>
                </c:ext>
              </c:extLst>
            </c:dLbl>
            <c:dLbl>
              <c:idx val="4"/>
              <c:tx>
                <c:rich>
                  <a:bodyPr/>
                  <a:lstStyle/>
                  <a:p>
                    <a:fld id="{00FA9E99-229F-4946-B1AD-11190F38289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B3-409D-861A-D4C1996899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'Bubble_Example 1'!$B$2:$B$6</c:f>
              <c:numCache>
                <c:formatCode>General</c:formatCode>
                <c:ptCount val="5"/>
                <c:pt idx="0">
                  <c:v>20</c:v>
                </c:pt>
                <c:pt idx="1">
                  <c:v>33</c:v>
                </c:pt>
                <c:pt idx="2">
                  <c:v>42</c:v>
                </c:pt>
                <c:pt idx="3">
                  <c:v>65</c:v>
                </c:pt>
                <c:pt idx="4">
                  <c:v>50</c:v>
                </c:pt>
              </c:numCache>
            </c:numRef>
          </c:xVal>
          <c:yVal>
            <c:numRef>
              <c:f>'Bubble_Example 1'!$C$2:$C$6</c:f>
              <c:numCache>
                <c:formatCode>"$"#,##0</c:formatCode>
                <c:ptCount val="5"/>
                <c:pt idx="0">
                  <c:v>2000</c:v>
                </c:pt>
                <c:pt idx="1">
                  <c:v>1500</c:v>
                </c:pt>
                <c:pt idx="2">
                  <c:v>2200</c:v>
                </c:pt>
                <c:pt idx="3">
                  <c:v>4500</c:v>
                </c:pt>
                <c:pt idx="4">
                  <c:v>3000</c:v>
                </c:pt>
              </c:numCache>
            </c:numRef>
          </c:yVal>
          <c:bubbleSize>
            <c:numRef>
              <c:f>'Bubble_Example 1'!$D$2:$D$6</c:f>
              <c:numCache>
                <c:formatCode>"$"#,##0</c:formatCode>
                <c:ptCount val="5"/>
                <c:pt idx="0">
                  <c:v>23000</c:v>
                </c:pt>
                <c:pt idx="1">
                  <c:v>20000</c:v>
                </c:pt>
                <c:pt idx="2">
                  <c:v>15000</c:v>
                </c:pt>
                <c:pt idx="3">
                  <c:v>38000</c:v>
                </c:pt>
                <c:pt idx="4">
                  <c:v>30000</c:v>
                </c:pt>
              </c:numCache>
            </c:numRef>
          </c:bubbleSize>
          <c:bubble3D val="0"/>
          <c:extLst>
            <c:ext xmlns:c15="http://schemas.microsoft.com/office/drawing/2012/chart" uri="{02D57815-91ED-43cb-92C2-25804820EDAC}">
              <c15:datalabelsRange>
                <c15:f>'Bubble_Example 1'!$A$2:$A$6</c15:f>
                <c15:dlblRangeCache>
                  <c:ptCount val="5"/>
                  <c:pt idx="0">
                    <c:v>Ad_1</c:v>
                  </c:pt>
                  <c:pt idx="1">
                    <c:v>Ad_2</c:v>
                  </c:pt>
                  <c:pt idx="2">
                    <c:v>Ad_3</c:v>
                  </c:pt>
                  <c:pt idx="3">
                    <c:v>Ad_4</c:v>
                  </c:pt>
                  <c:pt idx="4">
                    <c:v>Ad_5</c:v>
                  </c:pt>
                </c15:dlblRangeCache>
              </c15:datalabelsRange>
            </c:ext>
            <c:ext xmlns:c16="http://schemas.microsoft.com/office/drawing/2014/chart" uri="{C3380CC4-5D6E-409C-BE32-E72D297353CC}">
              <c16:uniqueId val="{00000000-0CB3-409D-861A-D4C19968999B}"/>
            </c:ext>
          </c:extLst>
        </c:ser>
        <c:dLbls>
          <c:dLblPos val="ctr"/>
          <c:showLegendKey val="0"/>
          <c:showVal val="1"/>
          <c:showCatName val="0"/>
          <c:showSerName val="0"/>
          <c:showPercent val="0"/>
          <c:showBubbleSize val="0"/>
        </c:dLbls>
        <c:bubbleScale val="100"/>
        <c:showNegBubbles val="0"/>
        <c:axId val="749864511"/>
        <c:axId val="668864127"/>
      </c:bubbleChart>
      <c:valAx>
        <c:axId val="749864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64127"/>
        <c:crosses val="autoZero"/>
        <c:crossBetween val="midCat"/>
      </c:valAx>
      <c:valAx>
        <c:axId val="66886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Per Ad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864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Product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3"/>
          <c:order val="3"/>
          <c:tx>
            <c:strRef>
              <c:f>'Bubble_Example 2'!$D$1</c:f>
              <c:strCache>
                <c:ptCount val="1"/>
                <c:pt idx="0">
                  <c:v>Profit in $</c:v>
                </c:pt>
              </c:strCache>
            </c:strRef>
          </c:tx>
          <c:spPr>
            <a:solidFill>
              <a:schemeClr val="accent4">
                <a:alpha val="75000"/>
              </a:schemeClr>
            </a:solidFill>
            <a:ln>
              <a:noFill/>
            </a:ln>
            <a:effectLst/>
          </c:spPr>
          <c:invertIfNegative val="0"/>
          <c:dLbls>
            <c:dLbl>
              <c:idx val="0"/>
              <c:layout>
                <c:manualLayout>
                  <c:x val="-0.17222222222222228"/>
                  <c:y val="-5.0925925925926013E-2"/>
                </c:manualLayout>
              </c:layout>
              <c:tx>
                <c:rich>
                  <a:bodyPr/>
                  <a:lstStyle/>
                  <a:p>
                    <a:fld id="{33C06624-BABE-445A-B9C6-1B47511AC7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37A-4E17-A09D-AFF8CFF1177B}"/>
                </c:ext>
              </c:extLst>
            </c:dLbl>
            <c:dLbl>
              <c:idx val="1"/>
              <c:layout>
                <c:manualLayout>
                  <c:x val="-1.3888888888888888E-2"/>
                  <c:y val="3.7037037037036952E-2"/>
                </c:manualLayout>
              </c:layout>
              <c:tx>
                <c:rich>
                  <a:bodyPr/>
                  <a:lstStyle/>
                  <a:p>
                    <a:fld id="{23C23706-261B-4D5E-B3A3-A3670C6084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37A-4E17-A09D-AFF8CFF1177B}"/>
                </c:ext>
              </c:extLst>
            </c:dLbl>
            <c:dLbl>
              <c:idx val="2"/>
              <c:layout>
                <c:manualLayout>
                  <c:x val="-1.388888888888894E-2"/>
                  <c:y val="-2.3148148148148192E-2"/>
                </c:manualLayout>
              </c:layout>
              <c:tx>
                <c:rich>
                  <a:bodyPr/>
                  <a:lstStyle/>
                  <a:p>
                    <a:fld id="{D78E305C-1F6A-49CC-86EC-4D95D84D8B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7A-4E17-A09D-AFF8CFF1177B}"/>
                </c:ext>
              </c:extLst>
            </c:dLbl>
            <c:dLbl>
              <c:idx val="3"/>
              <c:layout>
                <c:manualLayout>
                  <c:x val="-1.1111111111111212E-2"/>
                  <c:y val="0"/>
                </c:manualLayout>
              </c:layout>
              <c:tx>
                <c:rich>
                  <a:bodyPr/>
                  <a:lstStyle/>
                  <a:p>
                    <a:fld id="{F779BC38-633F-43CE-9A44-05C930BD0E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37A-4E17-A09D-AFF8CFF1177B}"/>
                </c:ext>
              </c:extLst>
            </c:dLbl>
            <c:dLbl>
              <c:idx val="4"/>
              <c:layout>
                <c:manualLayout>
                  <c:x val="-1.1111111111111112E-2"/>
                  <c:y val="1.8518518518518434E-2"/>
                </c:manualLayout>
              </c:layout>
              <c:tx>
                <c:rich>
                  <a:bodyPr/>
                  <a:lstStyle/>
                  <a:p>
                    <a:fld id="{F211CC41-2770-4091-BD3E-59F31AA2AA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37A-4E17-A09D-AFF8CFF1177B}"/>
                </c:ext>
              </c:extLst>
            </c:dLbl>
            <c:dLbl>
              <c:idx val="5"/>
              <c:layout>
                <c:manualLayout>
                  <c:x val="-1.6666666666666871E-2"/>
                  <c:y val="-4.2437781360066642E-17"/>
                </c:manualLayout>
              </c:layout>
              <c:tx>
                <c:rich>
                  <a:bodyPr/>
                  <a:lstStyle/>
                  <a:p>
                    <a:fld id="{06DEAE1A-F221-474B-85E1-CE6D4D46AD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7A-4E17-A09D-AFF8CFF11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 2'!$B$2:$B$7</c:f>
              <c:numCache>
                <c:formatCode>"$"#,##0</c:formatCode>
                <c:ptCount val="6"/>
                <c:pt idx="0">
                  <c:v>5000</c:v>
                </c:pt>
                <c:pt idx="1">
                  <c:v>15000</c:v>
                </c:pt>
                <c:pt idx="2">
                  <c:v>7000</c:v>
                </c:pt>
                <c:pt idx="3">
                  <c:v>10000</c:v>
                </c:pt>
                <c:pt idx="4">
                  <c:v>3000</c:v>
                </c:pt>
                <c:pt idx="5">
                  <c:v>20000</c:v>
                </c:pt>
              </c:numCache>
            </c:numRef>
          </c:xVal>
          <c:yVal>
            <c:numRef>
              <c:f>'Bubble_Example 2'!$C$2:$C$7</c:f>
              <c:numCache>
                <c:formatCode>"$"#,##0</c:formatCode>
                <c:ptCount val="6"/>
                <c:pt idx="0">
                  <c:v>50000</c:v>
                </c:pt>
                <c:pt idx="1">
                  <c:v>85000</c:v>
                </c:pt>
                <c:pt idx="2">
                  <c:v>100000</c:v>
                </c:pt>
                <c:pt idx="3">
                  <c:v>45000</c:v>
                </c:pt>
                <c:pt idx="4">
                  <c:v>30000</c:v>
                </c:pt>
                <c:pt idx="5">
                  <c:v>120000</c:v>
                </c:pt>
              </c:numCache>
            </c:numRef>
          </c:yVal>
          <c:bubbleSize>
            <c:numRef>
              <c:f>'Bubble_Example 2'!$D$2:$D$7</c:f>
              <c:numCache>
                <c:formatCode>"$"#,##0</c:formatCode>
                <c:ptCount val="6"/>
                <c:pt idx="0">
                  <c:v>2500</c:v>
                </c:pt>
                <c:pt idx="1">
                  <c:v>7500</c:v>
                </c:pt>
                <c:pt idx="2">
                  <c:v>10000</c:v>
                </c:pt>
                <c:pt idx="3">
                  <c:v>4500</c:v>
                </c:pt>
                <c:pt idx="4">
                  <c:v>1000</c:v>
                </c:pt>
                <c:pt idx="5">
                  <c:v>13000</c:v>
                </c:pt>
              </c:numCache>
            </c:numRef>
          </c:bubbleSize>
          <c:bubble3D val="1"/>
          <c:extLst>
            <c:ext xmlns:c15="http://schemas.microsoft.com/office/drawing/2012/chart" uri="{02D57815-91ED-43cb-92C2-25804820EDAC}">
              <c15:datalabelsRange>
                <c15:f>'Bubble_Example 2'!$A$2:$A$7</c15:f>
                <c15:dlblRangeCache>
                  <c:ptCount val="6"/>
                  <c:pt idx="0">
                    <c:v>Product_1</c:v>
                  </c:pt>
                  <c:pt idx="1">
                    <c:v>Product_2</c:v>
                  </c:pt>
                  <c:pt idx="2">
                    <c:v>Product_3</c:v>
                  </c:pt>
                  <c:pt idx="3">
                    <c:v>Product_4</c:v>
                  </c:pt>
                  <c:pt idx="4">
                    <c:v>Product_5</c:v>
                  </c:pt>
                  <c:pt idx="5">
                    <c:v>Product_6</c:v>
                  </c:pt>
                </c15:dlblRangeCache>
              </c15:datalabelsRange>
            </c:ext>
            <c:ext xmlns:c16="http://schemas.microsoft.com/office/drawing/2014/chart" uri="{C3380CC4-5D6E-409C-BE32-E72D297353CC}">
              <c16:uniqueId val="{00000003-637A-4E17-A09D-AFF8CFF1177B}"/>
            </c:ext>
          </c:extLst>
        </c:ser>
        <c:dLbls>
          <c:showLegendKey val="0"/>
          <c:showVal val="0"/>
          <c:showCatName val="0"/>
          <c:showSerName val="0"/>
          <c:showPercent val="0"/>
          <c:showBubbleSize val="0"/>
        </c:dLbls>
        <c:bubbleScale val="100"/>
        <c:showNegBubbles val="0"/>
        <c:axId val="1371171519"/>
        <c:axId val="1367624063"/>
        <c:extLst>
          <c:ext xmlns:c15="http://schemas.microsoft.com/office/drawing/2012/chart" uri="{02D57815-91ED-43cb-92C2-25804820EDAC}">
            <c15:filteredBubbleSeries>
              <c15:ser>
                <c:idx val="0"/>
                <c:order val="0"/>
                <c:tx>
                  <c:strRef>
                    <c:extLst>
                      <c:ext uri="{02D57815-91ED-43cb-92C2-25804820EDAC}">
                        <c15:formulaRef>
                          <c15:sqref>'Bubble_Example 2'!$A$2</c15:sqref>
                        </c15:formulaRef>
                      </c:ext>
                    </c:extLst>
                    <c:strCache>
                      <c:ptCount val="1"/>
                      <c:pt idx="0">
                        <c:v>Product_1</c:v>
                      </c:pt>
                    </c:strCache>
                  </c:strRef>
                </c:tx>
                <c:spPr>
                  <a:solidFill>
                    <a:schemeClr val="accent1">
                      <a:alpha val="75000"/>
                    </a:schemeClr>
                  </a:solidFill>
                  <a:ln>
                    <a:noFill/>
                  </a:ln>
                  <a:effectLst/>
                </c:spPr>
                <c:invertIfNegative val="0"/>
                <c:xVal>
                  <c:strRef>
                    <c:extLst>
                      <c:ext uri="{02D57815-91ED-43cb-92C2-25804820EDAC}">
                        <c15:formulaRef>
                          <c15:sqref>'Bubble_Example 2'!$B$1:$D$1</c15:sqref>
                        </c15:formulaRef>
                      </c:ext>
                    </c:extLst>
                    <c:strCache>
                      <c:ptCount val="3"/>
                      <c:pt idx="0">
                        <c:v>Expenses in $</c:v>
                      </c:pt>
                      <c:pt idx="1">
                        <c:v>Sales in $</c:v>
                      </c:pt>
                      <c:pt idx="2">
                        <c:v>Profit in $</c:v>
                      </c:pt>
                    </c:strCache>
                  </c:strRef>
                </c:xVal>
                <c:yVal>
                  <c:numRef>
                    <c:extLst>
                      <c:ext uri="{02D57815-91ED-43cb-92C2-25804820EDAC}">
                        <c15:formulaRef>
                          <c15:sqref>'Bubble_Example 2'!$B$2:$D$2</c15:sqref>
                        </c15:formulaRef>
                      </c:ext>
                    </c:extLst>
                    <c:numCache>
                      <c:formatCode>"$"#,##0</c:formatCode>
                      <c:ptCount val="3"/>
                      <c:pt idx="0">
                        <c:v>5000</c:v>
                      </c:pt>
                      <c:pt idx="1">
                        <c:v>50000</c:v>
                      </c:pt>
                      <c:pt idx="2">
                        <c:v>2500</c:v>
                      </c:pt>
                    </c:numCache>
                  </c:numRef>
                </c:yVal>
                <c:bubbleSize>
                  <c:numRef>
                    <c:extLst>
                      <c:ext uri="{02D57815-91ED-43cb-92C2-25804820EDAC}">
                        <c15:formulaRef>
                          <c15:sqref>'Bubble_Example 2'!$B$3:$D$3</c15:sqref>
                        </c15:formulaRef>
                      </c:ext>
                    </c:extLst>
                    <c:numCache>
                      <c:formatCode>"$"#,##0</c:formatCode>
                      <c:ptCount val="3"/>
                      <c:pt idx="0">
                        <c:v>15000</c:v>
                      </c:pt>
                      <c:pt idx="1">
                        <c:v>85000</c:v>
                      </c:pt>
                      <c:pt idx="2">
                        <c:v>7500</c:v>
                      </c:pt>
                    </c:numCache>
                  </c:numRef>
                </c:bubbleSize>
                <c:bubble3D val="1"/>
                <c:extLst>
                  <c:ext xmlns:c16="http://schemas.microsoft.com/office/drawing/2014/chart" uri="{C3380CC4-5D6E-409C-BE32-E72D297353CC}">
                    <c16:uniqueId val="{00000000-637A-4E17-A09D-AFF8CFF1177B}"/>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'Bubble_Example 2'!$A$4</c15:sqref>
                        </c15:formulaRef>
                      </c:ext>
                    </c:extLst>
                    <c:strCache>
                      <c:ptCount val="1"/>
                      <c:pt idx="0">
                        <c:v>Product_3</c:v>
                      </c:pt>
                    </c:strCache>
                  </c:strRef>
                </c:tx>
                <c:spPr>
                  <a:solidFill>
                    <a:schemeClr val="accent2">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2'!$B$4:$D$4</c15:sqref>
                        </c15:formulaRef>
                      </c:ext>
                    </c:extLst>
                    <c:numCache>
                      <c:formatCode>"$"#,##0</c:formatCode>
                      <c:ptCount val="3"/>
                      <c:pt idx="0">
                        <c:v>7000</c:v>
                      </c:pt>
                      <c:pt idx="1">
                        <c:v>100000</c:v>
                      </c:pt>
                      <c:pt idx="2">
                        <c:v>10000</c:v>
                      </c:pt>
                    </c:numCache>
                  </c:numRef>
                </c:yVal>
                <c:bubbleSize>
                  <c:numRef>
                    <c:extLst xmlns:c15="http://schemas.microsoft.com/office/drawing/2012/chart">
                      <c:ext xmlns:c15="http://schemas.microsoft.com/office/drawing/2012/chart" uri="{02D57815-91ED-43cb-92C2-25804820EDAC}">
                        <c15:formulaRef>
                          <c15:sqref>'Bubble_Example 2'!$B$5:$D$5</c15:sqref>
                        </c15:formulaRef>
                      </c:ext>
                    </c:extLst>
                    <c:numCache>
                      <c:formatCode>"$"#,##0</c:formatCode>
                      <c:ptCount val="3"/>
                      <c:pt idx="0">
                        <c:v>10000</c:v>
                      </c:pt>
                      <c:pt idx="1">
                        <c:v>45000</c:v>
                      </c:pt>
                      <c:pt idx="2">
                        <c:v>4500</c:v>
                      </c:pt>
                    </c:numCache>
                  </c:numRef>
                </c:bubbleSize>
                <c:bubble3D val="1"/>
                <c:extLst xmlns:c15="http://schemas.microsoft.com/office/drawing/2012/chart">
                  <c:ext xmlns:c16="http://schemas.microsoft.com/office/drawing/2014/chart" uri="{C3380CC4-5D6E-409C-BE32-E72D297353CC}">
                    <c16:uniqueId val="{00000001-637A-4E17-A09D-AFF8CFF1177B}"/>
                  </c:ext>
                </c:extLst>
              </c15:ser>
            </c15:filteredBubbleSeries>
            <c15:filteredBubbleSeries>
              <c15:ser>
                <c:idx val="2"/>
                <c:order val="2"/>
                <c:tx>
                  <c:strRef>
                    <c:extLst xmlns:c15="http://schemas.microsoft.com/office/drawing/2012/chart">
                      <c:ext xmlns:c15="http://schemas.microsoft.com/office/drawing/2012/chart" uri="{02D57815-91ED-43cb-92C2-25804820EDAC}">
                        <c15:formulaRef>
                          <c15:sqref>'Bubble_Example 2'!$A$6</c15:sqref>
                        </c15:formulaRef>
                      </c:ext>
                    </c:extLst>
                    <c:strCache>
                      <c:ptCount val="1"/>
                      <c:pt idx="0">
                        <c:v>Product_5</c:v>
                      </c:pt>
                    </c:strCache>
                  </c:strRef>
                </c:tx>
                <c:spPr>
                  <a:solidFill>
                    <a:schemeClr val="accent3">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2'!$B$6:$D$6</c15:sqref>
                        </c15:formulaRef>
                      </c:ext>
                    </c:extLst>
                    <c:numCache>
                      <c:formatCode>"$"#,##0</c:formatCode>
                      <c:ptCount val="3"/>
                      <c:pt idx="0">
                        <c:v>3000</c:v>
                      </c:pt>
                      <c:pt idx="1">
                        <c:v>30000</c:v>
                      </c:pt>
                      <c:pt idx="2">
                        <c:v>1000</c:v>
                      </c:pt>
                    </c:numCache>
                  </c:numRef>
                </c:yVal>
                <c:bubbleSize>
                  <c:numRef>
                    <c:extLst xmlns:c15="http://schemas.microsoft.com/office/drawing/2012/chart">
                      <c:ext xmlns:c15="http://schemas.microsoft.com/office/drawing/2012/chart" uri="{02D57815-91ED-43cb-92C2-25804820EDAC}">
                        <c15:formulaRef>
                          <c15:sqref>'Bubble_Example 2'!$B$7:$D$7</c15:sqref>
                        </c15:formulaRef>
                      </c:ext>
                    </c:extLst>
                    <c:numCache>
                      <c:formatCode>"$"#,##0</c:formatCode>
                      <c:ptCount val="3"/>
                      <c:pt idx="0">
                        <c:v>20000</c:v>
                      </c:pt>
                      <c:pt idx="1">
                        <c:v>120000</c:v>
                      </c:pt>
                      <c:pt idx="2">
                        <c:v>13000</c:v>
                      </c:pt>
                    </c:numCache>
                  </c:numRef>
                </c:bubbleSize>
                <c:bubble3D val="1"/>
                <c:extLst xmlns:c15="http://schemas.microsoft.com/office/drawing/2012/chart">
                  <c:ext xmlns:c16="http://schemas.microsoft.com/office/drawing/2014/chart" uri="{C3380CC4-5D6E-409C-BE32-E72D297353CC}">
                    <c16:uniqueId val="{00000002-637A-4E17-A09D-AFF8CFF1177B}"/>
                  </c:ext>
                </c:extLst>
              </c15:ser>
            </c15:filteredBubbleSeries>
          </c:ext>
        </c:extLst>
      </c:bubbleChart>
      <c:valAx>
        <c:axId val="1371171519"/>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624063"/>
        <c:crosses val="autoZero"/>
        <c:crossBetween val="midCat"/>
      </c:valAx>
      <c:valAx>
        <c:axId val="1367624063"/>
        <c:scaling>
          <c:orientation val="minMax"/>
          <c:max val="1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171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Bubble</a:t>
            </a:r>
            <a:r>
              <a:rPr lang="en-US" sz="1200" baseline="0"/>
              <a:t> Chart: Firms-wise Product Profit Comparison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Bubble_FAQ!$A$1</c:f>
              <c:strCache>
                <c:ptCount val="1"/>
                <c:pt idx="0">
                  <c:v>Firm A</c:v>
                </c:pt>
              </c:strCache>
            </c:strRef>
          </c:tx>
          <c:spPr>
            <a:solidFill>
              <a:schemeClr val="accent1">
                <a:alpha val="75000"/>
              </a:schemeClr>
            </a:solidFill>
            <a:ln>
              <a:noFill/>
            </a:ln>
            <a:effectLst/>
          </c:spPr>
          <c:invertIfNegative val="0"/>
          <c:dLbls>
            <c:dLbl>
              <c:idx val="0"/>
              <c:tx>
                <c:rich>
                  <a:bodyPr/>
                  <a:lstStyle/>
                  <a:p>
                    <a:fld id="{F360A208-ED60-4422-8DF9-B831DE7A402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4B-43D5-B720-420A4CDD50AB}"/>
                </c:ext>
              </c:extLst>
            </c:dLbl>
            <c:dLbl>
              <c:idx val="1"/>
              <c:tx>
                <c:rich>
                  <a:bodyPr/>
                  <a:lstStyle/>
                  <a:p>
                    <a:fld id="{6DFD174C-4F3A-49EB-A092-09FF53F523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4B-43D5-B720-420A4CDD50AB}"/>
                </c:ext>
              </c:extLst>
            </c:dLbl>
            <c:dLbl>
              <c:idx val="2"/>
              <c:tx>
                <c:rich>
                  <a:bodyPr/>
                  <a:lstStyle/>
                  <a:p>
                    <a:fld id="{7AD1D575-6853-4CE4-A974-78321C1584A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4B-43D5-B720-420A4CDD50AB}"/>
                </c:ext>
              </c:extLst>
            </c:dLbl>
            <c:dLbl>
              <c:idx val="3"/>
              <c:tx>
                <c:rich>
                  <a:bodyPr/>
                  <a:lstStyle/>
                  <a:p>
                    <a:fld id="{4BDF1E60-646D-4A4F-A040-190D5063A99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4B-43D5-B720-420A4CDD50AB}"/>
                </c:ext>
              </c:extLst>
            </c:dLbl>
            <c:dLbl>
              <c:idx val="4"/>
              <c:tx>
                <c:rich>
                  <a:bodyPr/>
                  <a:lstStyle/>
                  <a:p>
                    <a:fld id="{C55129F9-A018-4C32-8084-C704BB36579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Bubble_FAQ!$B$3:$B$7</c:f>
              <c:numCache>
                <c:formatCode>"$"#,##0</c:formatCode>
                <c:ptCount val="5"/>
                <c:pt idx="0">
                  <c:v>10000</c:v>
                </c:pt>
                <c:pt idx="1">
                  <c:v>12000</c:v>
                </c:pt>
                <c:pt idx="2">
                  <c:v>8000</c:v>
                </c:pt>
                <c:pt idx="3">
                  <c:v>6000</c:v>
                </c:pt>
                <c:pt idx="4">
                  <c:v>14000</c:v>
                </c:pt>
              </c:numCache>
            </c:numRef>
          </c:xVal>
          <c:yVal>
            <c:numRef>
              <c:f>Bubble_FAQ!$C$3:$C$7</c:f>
              <c:numCache>
                <c:formatCode>"$"#,##0</c:formatCode>
                <c:ptCount val="5"/>
                <c:pt idx="0">
                  <c:v>30000</c:v>
                </c:pt>
                <c:pt idx="1">
                  <c:v>32000</c:v>
                </c:pt>
                <c:pt idx="2">
                  <c:v>28000</c:v>
                </c:pt>
                <c:pt idx="3">
                  <c:v>26000</c:v>
                </c:pt>
                <c:pt idx="4">
                  <c:v>34000</c:v>
                </c:pt>
              </c:numCache>
            </c:numRef>
          </c:yVal>
          <c:bubbleSize>
            <c:numRef>
              <c:f>Bubble_FAQ!$D$3:$D$7</c:f>
              <c:numCache>
                <c:formatCode>"$"#,##0</c:formatCode>
                <c:ptCount val="5"/>
                <c:pt idx="0">
                  <c:v>5000</c:v>
                </c:pt>
                <c:pt idx="1">
                  <c:v>15000</c:v>
                </c:pt>
                <c:pt idx="2">
                  <c:v>10000</c:v>
                </c:pt>
                <c:pt idx="3">
                  <c:v>4000</c:v>
                </c:pt>
                <c:pt idx="4">
                  <c:v>12000</c:v>
                </c:pt>
              </c:numCache>
            </c:numRef>
          </c:bubbleSize>
          <c:bubble3D val="0"/>
          <c:extLst>
            <c:ext xmlns:c15="http://schemas.microsoft.com/office/drawing/2012/chart" uri="{02D57815-91ED-43cb-92C2-25804820EDAC}">
              <c15:datalabelsRange>
                <c15:f>Bubble_FAQ!$A$3:$A$7</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0-0D4B-43D5-B720-420A4CDD50AB}"/>
            </c:ext>
          </c:extLst>
        </c:ser>
        <c:ser>
          <c:idx val="1"/>
          <c:order val="1"/>
          <c:tx>
            <c:strRef>
              <c:f>Bubble_FAQ!$A$9</c:f>
              <c:strCache>
                <c:ptCount val="1"/>
                <c:pt idx="0">
                  <c:v>Firm B</c:v>
                </c:pt>
              </c:strCache>
            </c:strRef>
          </c:tx>
          <c:spPr>
            <a:solidFill>
              <a:schemeClr val="accent2">
                <a:alpha val="75000"/>
              </a:schemeClr>
            </a:solidFill>
            <a:ln w="25400">
              <a:noFill/>
            </a:ln>
            <a:effectLst/>
          </c:spPr>
          <c:invertIfNegative val="0"/>
          <c:dLbls>
            <c:dLbl>
              <c:idx val="0"/>
              <c:tx>
                <c:rich>
                  <a:bodyPr/>
                  <a:lstStyle/>
                  <a:p>
                    <a:fld id="{5E1A35BB-8D1D-46AA-875A-E47149B87E3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4B-43D5-B720-420A4CDD50AB}"/>
                </c:ext>
              </c:extLst>
            </c:dLbl>
            <c:dLbl>
              <c:idx val="1"/>
              <c:tx>
                <c:rich>
                  <a:bodyPr/>
                  <a:lstStyle/>
                  <a:p>
                    <a:fld id="{9FAA3EAE-594C-49EF-9C55-F620E49ED28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4B-43D5-B720-420A4CDD50AB}"/>
                </c:ext>
              </c:extLst>
            </c:dLbl>
            <c:dLbl>
              <c:idx val="2"/>
              <c:tx>
                <c:rich>
                  <a:bodyPr/>
                  <a:lstStyle/>
                  <a:p>
                    <a:fld id="{6A86D2E9-0960-49BB-9FC7-9E116C26B46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4B-43D5-B720-420A4CDD50AB}"/>
                </c:ext>
              </c:extLst>
            </c:dLbl>
            <c:dLbl>
              <c:idx val="3"/>
              <c:tx>
                <c:rich>
                  <a:bodyPr/>
                  <a:lstStyle/>
                  <a:p>
                    <a:fld id="{D8E1982A-1095-4E35-A1F0-EE26F8F2162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4B-43D5-B720-420A4CDD50AB}"/>
                </c:ext>
              </c:extLst>
            </c:dLbl>
            <c:dLbl>
              <c:idx val="4"/>
              <c:tx>
                <c:rich>
                  <a:bodyPr/>
                  <a:lstStyle/>
                  <a:p>
                    <a:fld id="{F4DE9AF6-E9A1-472A-9BA1-2A70AC8F59C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Bubble_FAQ!$B$11:$B$15</c:f>
              <c:numCache>
                <c:formatCode>"$"#,##0</c:formatCode>
                <c:ptCount val="5"/>
                <c:pt idx="0">
                  <c:v>7000</c:v>
                </c:pt>
                <c:pt idx="1">
                  <c:v>4000</c:v>
                </c:pt>
                <c:pt idx="2">
                  <c:v>6000</c:v>
                </c:pt>
                <c:pt idx="3">
                  <c:v>5000</c:v>
                </c:pt>
                <c:pt idx="4">
                  <c:v>9000</c:v>
                </c:pt>
              </c:numCache>
            </c:numRef>
          </c:xVal>
          <c:yVal>
            <c:numRef>
              <c:f>Bubble_FAQ!$C$11:$C$15</c:f>
              <c:numCache>
                <c:formatCode>"$"#,##0</c:formatCode>
                <c:ptCount val="5"/>
                <c:pt idx="0">
                  <c:v>18000</c:v>
                </c:pt>
                <c:pt idx="1">
                  <c:v>10000</c:v>
                </c:pt>
                <c:pt idx="2">
                  <c:v>15000</c:v>
                </c:pt>
                <c:pt idx="3">
                  <c:v>13000</c:v>
                </c:pt>
                <c:pt idx="4">
                  <c:v>20000</c:v>
                </c:pt>
              </c:numCache>
            </c:numRef>
          </c:yVal>
          <c:bubbleSize>
            <c:numRef>
              <c:f>Bubble_FAQ!$D$11:$D$15</c:f>
              <c:numCache>
                <c:formatCode>"$"#,##0</c:formatCode>
                <c:ptCount val="5"/>
                <c:pt idx="0">
                  <c:v>8000</c:v>
                </c:pt>
                <c:pt idx="1">
                  <c:v>3000</c:v>
                </c:pt>
                <c:pt idx="2">
                  <c:v>10000</c:v>
                </c:pt>
                <c:pt idx="3">
                  <c:v>7000</c:v>
                </c:pt>
                <c:pt idx="4">
                  <c:v>12000</c:v>
                </c:pt>
              </c:numCache>
            </c:numRef>
          </c:bubbleSize>
          <c:bubble3D val="0"/>
          <c:extLst>
            <c:ext xmlns:c15="http://schemas.microsoft.com/office/drawing/2012/chart" uri="{02D57815-91ED-43cb-92C2-25804820EDAC}">
              <c15:datalabelsRange>
                <c15:f>Bubble_FAQ!$A$11:$A$15</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1-0D4B-43D5-B720-420A4CDD50AB}"/>
            </c:ext>
          </c:extLst>
        </c:ser>
        <c:dLbls>
          <c:dLblPos val="ctr"/>
          <c:showLegendKey val="0"/>
          <c:showVal val="1"/>
          <c:showCatName val="0"/>
          <c:showSerName val="0"/>
          <c:showPercent val="0"/>
          <c:showBubbleSize val="0"/>
        </c:dLbls>
        <c:bubbleScale val="100"/>
        <c:showNegBubbles val="0"/>
        <c:axId val="505767552"/>
        <c:axId val="512277216"/>
      </c:bubbleChart>
      <c:valAx>
        <c:axId val="50576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77216"/>
        <c:crosses val="autoZero"/>
        <c:crossBetween val="midCat"/>
      </c:valAx>
      <c:valAx>
        <c:axId val="512277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6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Monthly Revenue Variations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Monthly Revenue Variations</a:t>
          </a:r>
        </a:p>
      </cx:txPr>
    </cx:title>
    <cx:plotArea>
      <cx:plotAreaRegion>
        <cx:series layoutId="waterfall" uniqueId="{FAFD2CDF-9DF0-4197-8A93-AF2ADDBD575E}">
          <cx:tx>
            <cx:txData>
              <cx:f>_xlchart.v5.1</cx:f>
              <cx:v>Revenue in $</cx:v>
            </cx:txData>
          </cx:tx>
          <cx:dataPt idx="1">
            <cx:spPr>
              <a:ln>
                <a:noFill/>
              </a:ln>
            </cx:spPr>
          </cx:dataPt>
          <cx:dataPt idx="3">
            <cx:spPr>
              <a:ln>
                <a:noFill/>
              </a:ln>
            </cx:spPr>
          </cx:dataPt>
          <cx:dataLabels pos="outEnd">
            <cx:visibility seriesName="0" categoryName="0" value="1"/>
          </cx:dataLabels>
          <cx:dataId val="0"/>
          <cx:layoutPr>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CA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Company Revenue Variations Due to </a:t>
            </a:r>
            <a:r>
              <a:rPr lang="en-US"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Small Ventures' Contribution</a:t>
            </a:r>
            <a:endParaRPr lang="en-US" sz="1200" b="1"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347300FD-9FC6-4A77-B60E-41BCF32A3CF9}">
          <cx:tx>
            <cx:txData>
              <cx:f>_xlchart.v1.4</cx:f>
              <cx:v>Revenue in $</cx:v>
            </cx:txData>
          </cx:tx>
          <cx:dataLabels pos="outEnd">
            <cx:visibility seriesName="0" categoryName="0" value="1"/>
          </cx:dataLabels>
          <cx:dataId val="0"/>
          <cx:layoutPr>
            <cx:visibility connectorLines="1"/>
            <cx:subtotals>
              <cx:idx val="0"/>
              <cx:idx val="6"/>
            </cx:subtotals>
          </cx:layoutPr>
        </cx:series>
      </cx:plotAreaRegion>
      <cx:axis id="0">
        <cx:catScaling gapWidth="0.5"/>
        <cx:title>
          <cx:tx>
            <cx:txData>
              <cx:v>Small Ventures' Contribution To Company 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Small Ventures' Contribution To Company Revenue</a:t>
              </a:r>
            </a:p>
          </cx:txPr>
        </cx:title>
        <cx:tickLabels/>
      </cx:axis>
      <cx:axis id="1">
        <cx:valScaling min="45000"/>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Revenue Variations Due To Contributing Factors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Variations Due To Contributing Factors</a:t>
          </a:r>
        </a:p>
      </cx:txPr>
    </cx:title>
    <cx:plotArea>
      <cx:plotAreaRegion>
        <cx:series layoutId="waterfall" uniqueId="{B4FB01CC-0ACE-4A01-8639-26CF2A2AB647}">
          <cx:tx>
            <cx:txData>
              <cx:f>_xlchart.v1.7</cx:f>
              <cx:v>Revenue in $</cx:v>
            </cx:txData>
          </cx:tx>
          <cx:dataLabels pos="outEnd">
            <cx:visibility seriesName="0" categoryName="0" value="1"/>
          </cx:dataLabels>
          <cx:dataId val="0"/>
          <cx:layoutPr>
            <cx:subtotals>
              <cx:idx val="0"/>
              <cx:idx val="5"/>
            </cx:subtotals>
          </cx:layoutPr>
        </cx:series>
      </cx:plotAreaRegion>
      <cx:axis id="0">
        <cx:catScaling gapWidth="0.5"/>
        <cx:title>
          <cx:tx>
            <cx:txData>
              <cx:v>Revenue Variation Factors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Variation Factors</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Pareto Chart - Customer Complaints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Customer Complaints</a:t>
          </a:r>
        </a:p>
      </cx:txPr>
    </cx:title>
    <cx:plotArea>
      <cx:plotAreaRegion>
        <cx:series layoutId="clusteredColumn" uniqueId="{EAC83D20-81A3-4848-ABDC-A5310EC4436E}">
          <cx:tx>
            <cx:txData>
              <cx:f>_xlchart.v1.10</cx:f>
              <cx:v>Complaint Frequency</cx:v>
            </cx:txData>
          </cx:tx>
          <cx:spPr>
            <a:solidFill>
              <a:srgbClr val="0CA0A0"/>
            </a:solidFill>
          </cx:spPr>
          <cx:dataLabels>
            <cx:visibility seriesName="0" categoryName="0" value="1"/>
          </cx:dataLabels>
          <cx:dataId val="0"/>
          <cx:layoutPr>
            <cx:aggregation/>
          </cx:layoutPr>
          <cx:axisId val="1"/>
        </cx:series>
        <cx:series layoutId="paretoLine" ownerIdx="0" uniqueId="{1AD7CDD1-36E9-49B3-9E66-7AD664F186D3}">
          <cx:axisId val="2"/>
        </cx:series>
      </cx:plotAreaRegion>
      <cx:axis id="0">
        <cx:catScaling gapWidth="0"/>
        <cx:title>
          <cx:tx>
            <cx:txData>
              <cx:v>Customer Complaint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Customer Complaint</a:t>
              </a:r>
            </a:p>
          </cx:txPr>
        </cx:title>
        <cx:tickLabels/>
      </cx:axis>
      <cx:axis id="1">
        <cx:valScaling/>
        <cx:title>
          <cx:tx>
            <cx:txData>
              <cx:v>Complaint 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Frequency</a:t>
              </a:r>
            </a:p>
          </cx:txPr>
        </cx:title>
        <cx:majorGridlines/>
        <cx:tickLabels/>
      </cx:axis>
      <cx:axis id="2">
        <cx:valScaling max="1" min="0"/>
        <cx:title>
          <cx:tx>
            <cx:txData>
              <cx:v>Complaint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Cumulative Percentage</a:t>
              </a:r>
            </a:p>
          </cx:txPr>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Pareto Chart - Reported Software Issues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Reported Software Issues</a:t>
          </a:r>
        </a:p>
      </cx:txPr>
    </cx:title>
    <cx:plotArea>
      <cx:plotAreaRegion>
        <cx:series layoutId="clusteredColumn" uniqueId="{0AF7C737-3E7B-4F1E-87FF-F54C22744E76}">
          <cx:tx>
            <cx:txData>
              <cx:f>_xlchart.v1.13</cx:f>
              <cx:v>Count</cx:v>
            </cx:txData>
          </cx:tx>
          <cx:dataLabels>
            <cx:visibility seriesName="0" categoryName="0" value="1"/>
          </cx:dataLabels>
          <cx:dataId val="0"/>
          <cx:layoutPr>
            <cx:aggregation/>
          </cx:layoutPr>
          <cx:axisId val="1"/>
        </cx:series>
        <cx:series layoutId="paretoLine" ownerIdx="0" uniqueId="{EA28B034-2FD9-4F6F-9334-23E5738A3C04}">
          <cx:axisId val="2"/>
        </cx:series>
      </cx:plotAreaRegion>
      <cx:axis id="0">
        <cx:catScaling gapWidth="0"/>
        <cx:title>
          <cx:tx>
            <cx:txData>
              <cx:v>Software Issue Reported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Software Issue Reported</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axis id="2">
        <cx:valScaling max="1" min="0"/>
        <cx:title>
          <cx:tx>
            <cx:txData>
              <cx:v>Count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Cumulative Percentage</a:t>
              </a:r>
            </a:p>
          </cx:txPr>
        </cx:title>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Funnel Chart: Product Sales Pipeline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Funnel Chart: Product Sales Pipeline</a:t>
          </a:r>
        </a:p>
      </cx:txPr>
    </cx:title>
    <cx:plotArea>
      <cx:plotAreaRegion>
        <cx:series layoutId="funnel" uniqueId="{680C67E2-44EC-4D7F-AA67-F61C98149A39}">
          <cx:tx>
            <cx:txData>
              <cx:f>_xlchart.v2.16</cx:f>
              <cx:v>Amount</cx:v>
            </cx:txData>
          </cx:tx>
          <cx:spPr>
            <a:solidFill>
              <a:srgbClr val="0CA0A0"/>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Funnel Chart: Email Conversion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Email Conversion Rate</a:t>
          </a:r>
        </a:p>
      </cx:txPr>
    </cx:title>
    <cx:plotArea>
      <cx:plotAreaRegion>
        <cx:series layoutId="funnel" uniqueId="{DB1651D9-3D56-4012-A569-40B7C6E893F7}">
          <cx:tx>
            <cx:txData>
              <cx:f>_xlchart.v2.19</cx:f>
              <cx:v>Users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title pos="t" align="ctr" overlay="0">
      <cx:tx>
        <cx:txData>
          <cx:v>Funnel Chart: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Sales Funnel</a:t>
          </a:r>
        </a:p>
      </cx:txPr>
    </cx:title>
    <cx:plotArea>
      <cx:plotAreaRegion>
        <cx:series layoutId="funnel" uniqueId="{B7E38825-AC1F-44F5-B740-B9A5EFB296F7}">
          <cx:tx>
            <cx:txData>
              <cx:f>_xlchart.v2.22</cx:f>
              <cx:v>Deal Value in USD</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Funnel Chart: Pipeline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Pipeline Sales Funnel</a:t>
          </a:r>
        </a:p>
      </cx:txPr>
    </cx:title>
    <cx:plotArea>
      <cx:plotAreaRegion>
        <cx:series layoutId="funnel" uniqueId="{17D3F24E-A9F3-474E-A0D5-DB0DF6BD4650}">
          <cx:tx>
            <cx:txData>
              <cx:f>_xlchart.v2.25</cx:f>
              <cx:v>Number Of Customers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 With Customer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 With Customer %</a:t>
              </a:r>
            </a:p>
          </cx:txPr>
        </cx:title>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Histogram Chart- Student Age Groups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Chart- Student Age Groups</a:t>
          </a:r>
        </a:p>
      </cx:txPr>
    </cx:title>
    <cx:plotArea>
      <cx:plotAreaRegion>
        <cx:series layoutId="clusteredColumn" uniqueId="{A3D79EFE-7C86-4950-9378-2D891DE84FE8}">
          <cx:tx>
            <cx:txData>
              <cx:f>_xlchart.v1.27</cx:f>
              <cx:v>Student Age in years</cx:v>
            </cx:txData>
          </cx:tx>
          <cx:dataId val="0"/>
          <cx:layoutPr>
            <cx:binning intervalClosed="r"/>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Count Of Students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Students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Waterfall Chart- Monthly Revenue Variations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Waterfall Chart- Monthly Revenue Variations</a:t>
          </a:r>
        </a:p>
      </cx:txPr>
    </cx:title>
    <cx:plotArea>
      <cx:plotAreaRegion>
        <cx:series layoutId="waterfall" uniqueId="{D54D3B22-D55B-4C11-A99F-3017CCA788A6}">
          <cx:tx>
            <cx:txData>
              <cx:f>_xlchart.v1.30</cx:f>
              <cx:v>Revenue in USD</cx:v>
            </cx:txData>
          </cx:tx>
          <cx:dataLabels pos="outEnd">
            <cx:visibility seriesName="0" categoryName="0" value="1"/>
          </cx:dataLabels>
          <cx:dataId val="0"/>
          <cx:layoutPr>
            <cx:visibility connectorLines="0"/>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USD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USD</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B$11" horiz="1" inc="5" max="100" page="10" val="70"/>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microsoft.com/office/2014/relationships/chartEx" Target="../charts/chartEx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microsoft.com/office/2014/relationships/chartEx" Target="../charts/chartEx7.xml"/></Relationships>
</file>

<file path=xl/drawings/_rels/drawing42.xml.rels><?xml version="1.0" encoding="UTF-8" standalone="yes"?>
<Relationships xmlns="http://schemas.openxmlformats.org/package/2006/relationships"><Relationship Id="rId1" Type="http://schemas.microsoft.com/office/2014/relationships/chartEx" Target="../charts/chartEx8.xml"/></Relationships>
</file>

<file path=xl/drawings/_rels/drawing43.xml.rels><?xml version="1.0" encoding="UTF-8" standalone="yes"?>
<Relationships xmlns="http://schemas.openxmlformats.org/package/2006/relationships"><Relationship Id="rId1" Type="http://schemas.microsoft.com/office/2014/relationships/chartEx" Target="../charts/chartEx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1.xml.rels><?xml version="1.0" encoding="UTF-8" standalone="yes"?>
<Relationships xmlns="http://schemas.openxmlformats.org/package/2006/relationships"><Relationship Id="rId1" Type="http://schemas.microsoft.com/office/2014/relationships/chartEx" Target="../charts/chartEx10.xml"/></Relationships>
</file>

<file path=xl/drawings/_rels/drawing62.xml.rels><?xml version="1.0" encoding="UTF-8" standalone="yes"?>
<Relationships xmlns="http://schemas.openxmlformats.org/package/2006/relationships"><Relationship Id="rId1" Type="http://schemas.microsoft.com/office/2014/relationships/chartEx" Target="../charts/chartEx1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2</xdr:col>
      <xdr:colOff>600075</xdr:colOff>
      <xdr:row>1</xdr:row>
      <xdr:rowOff>3175</xdr:rowOff>
    </xdr:from>
    <xdr:to>
      <xdr:col>10</xdr:col>
      <xdr:colOff>295275</xdr:colOff>
      <xdr:row>15</xdr:row>
      <xdr:rowOff>168275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94535" y="186055"/>
              <a:ext cx="4572000" cy="2725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1</xdr:row>
      <xdr:rowOff>79375</xdr:rowOff>
    </xdr:from>
    <xdr:to>
      <xdr:col>15</xdr:col>
      <xdr:colOff>349250</xdr:colOff>
      <xdr:row>16</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42920" y="628015"/>
              <a:ext cx="7410450" cy="2714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568325</xdr:colOff>
      <xdr:row>3</xdr:row>
      <xdr:rowOff>79375</xdr:rowOff>
    </xdr:from>
    <xdr:to>
      <xdr:col>11</xdr:col>
      <xdr:colOff>263525</xdr:colOff>
      <xdr:row>18</xdr:row>
      <xdr:rowOff>60325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40125" y="628015"/>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1</xdr:row>
      <xdr:rowOff>180975</xdr:rowOff>
    </xdr:from>
    <xdr:to>
      <xdr:col>13</xdr:col>
      <xdr:colOff>307975</xdr:colOff>
      <xdr:row>16</xdr:row>
      <xdr:rowOff>161925</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239889</xdr:colOff>
      <xdr:row>0</xdr:row>
      <xdr:rowOff>176389</xdr:rowOff>
    </xdr:from>
    <xdr:to>
      <xdr:col>19</xdr:col>
      <xdr:colOff>592666</xdr:colOff>
      <xdr:row>19</xdr:row>
      <xdr:rowOff>70556</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3</xdr:row>
      <xdr:rowOff>79375</xdr:rowOff>
    </xdr:from>
    <xdr:to>
      <xdr:col>8</xdr:col>
      <xdr:colOff>527050</xdr:colOff>
      <xdr:row>18</xdr:row>
      <xdr:rowOff>60325</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xdr:row>
      <xdr:rowOff>174625</xdr:rowOff>
    </xdr:from>
    <xdr:to>
      <xdr:col>6</xdr:col>
      <xdr:colOff>1708150</xdr:colOff>
      <xdr:row>17</xdr:row>
      <xdr:rowOff>155575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339725</xdr:colOff>
      <xdr:row>1</xdr:row>
      <xdr:rowOff>149225</xdr:rowOff>
    </xdr:from>
    <xdr:to>
      <xdr:col>13</xdr:col>
      <xdr:colOff>295275</xdr:colOff>
      <xdr:row>16</xdr:row>
      <xdr:rowOff>130175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4</xdr:row>
      <xdr:rowOff>0</xdr:rowOff>
    </xdr:from>
    <xdr:to>
      <xdr:col>16</xdr:col>
      <xdr:colOff>323850</xdr:colOff>
      <xdr:row>17</xdr:row>
      <xdr:rowOff>130175</xdr:rowOff>
    </xdr:to>
    <mc:AlternateContent xmlns:mc="http://schemas.openxmlformats.org/markup-compatibility/2006" xmlns:a14="http://schemas.microsoft.com/office/drawing/2010/main">
      <mc:Choice Requires="a14">
        <xdr:graphicFrame macro="">
          <xdr:nvGraphicFramePr>
            <xdr:cNvPr id="4" name="Designation">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81407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125586</xdr:colOff>
      <xdr:row>2</xdr:row>
      <xdr:rowOff>7054</xdr:rowOff>
    </xdr:from>
    <xdr:to>
      <xdr:col>13</xdr:col>
      <xdr:colOff>7055</xdr:colOff>
      <xdr:row>17</xdr:row>
      <xdr:rowOff>49388</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592667</xdr:colOff>
      <xdr:row>7</xdr:row>
      <xdr:rowOff>182386</xdr:rowOff>
    </xdr:from>
    <xdr:to>
      <xdr:col>9</xdr:col>
      <xdr:colOff>676628</xdr:colOff>
      <xdr:row>22</xdr:row>
      <xdr:rowOff>163336</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9524</xdr:colOff>
      <xdr:row>3</xdr:row>
      <xdr:rowOff>3175</xdr:rowOff>
    </xdr:from>
    <xdr:to>
      <xdr:col>13</xdr:col>
      <xdr:colOff>298449</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38524" y="551815"/>
              <a:ext cx="6384925" cy="26841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1</xdr:row>
      <xdr:rowOff>9525</xdr:rowOff>
    </xdr:from>
    <xdr:to>
      <xdr:col>12</xdr:col>
      <xdr:colOff>546100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43174" y="192405"/>
              <a:ext cx="6042026" cy="27222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352425</xdr:colOff>
      <xdr:row>3</xdr:row>
      <xdr:rowOff>79375</xdr:rowOff>
    </xdr:from>
    <xdr:to>
      <xdr:col>12</xdr:col>
      <xdr:colOff>47625</xdr:colOff>
      <xdr:row>18</xdr:row>
      <xdr:rowOff>60325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17</xdr:row>
          <xdr:rowOff>7620</xdr:rowOff>
        </xdr:from>
        <xdr:to>
          <xdr:col>8</xdr:col>
          <xdr:colOff>601980</xdr:colOff>
          <xdr:row>19</xdr:row>
          <xdr:rowOff>182880</xdr:rowOff>
        </xdr:to>
        <xdr:sp macro="" textlink="">
          <xdr:nvSpPr>
            <xdr:cNvPr id="14337" name="Scroll Bar 1" hidden="1">
              <a:extLst>
                <a:ext uri="{63B3BB69-23CF-44E3-9099-C40C66FF867C}">
                  <a14:compatExt spid="_x0000_s14337"/>
                </a:ext>
                <a:ext uri="{FF2B5EF4-FFF2-40B4-BE49-F238E27FC236}">
                  <a16:creationId xmlns:a16="http://schemas.microsoft.com/office/drawing/2014/main" id="{00000000-0008-0000-2D00-000001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752474</xdr:colOff>
      <xdr:row>1</xdr:row>
      <xdr:rowOff>174624</xdr:rowOff>
    </xdr:from>
    <xdr:to>
      <xdr:col>12</xdr:col>
      <xdr:colOff>241299</xdr:colOff>
      <xdr:row>17</xdr:row>
      <xdr:rowOff>6349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574675</xdr:colOff>
      <xdr:row>2</xdr:row>
      <xdr:rowOff>28575</xdr:rowOff>
    </xdr:from>
    <xdr:to>
      <xdr:col>13</xdr:col>
      <xdr:colOff>269875</xdr:colOff>
      <xdr:row>17</xdr:row>
      <xdr:rowOff>9525</xdr:rowOff>
    </xdr:to>
    <xdr:graphicFrame macro="">
      <xdr:nvGraphicFramePr>
        <xdr:cNvPr id="3" name="Chart 2">
          <a:extLst>
            <a:ext uri="{FF2B5EF4-FFF2-40B4-BE49-F238E27FC236}">
              <a16:creationId xmlns:a16="http://schemas.microsoft.com/office/drawing/2014/main" id="{00000000-0008-0000-5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3718277</xdr:colOff>
      <xdr:row>0</xdr:row>
      <xdr:rowOff>0</xdr:rowOff>
    </xdr:from>
    <xdr:to>
      <xdr:col>11</xdr:col>
      <xdr:colOff>324554</xdr:colOff>
      <xdr:row>14</xdr:row>
      <xdr:rowOff>174978</xdr:rowOff>
    </xdr:to>
    <xdr:graphicFrame macro="">
      <xdr:nvGraphicFramePr>
        <xdr:cNvPr id="8" name="Chart 7">
          <a:extLst>
            <a:ext uri="{FF2B5EF4-FFF2-40B4-BE49-F238E27FC236}">
              <a16:creationId xmlns:a16="http://schemas.microsoft.com/office/drawing/2014/main" id="{00000000-0008-0000-6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180622</xdr:rowOff>
    </xdr:from>
    <xdr:to>
      <xdr:col>11</xdr:col>
      <xdr:colOff>324555</xdr:colOff>
      <xdr:row>15</xdr:row>
      <xdr:rowOff>172155</xdr:rowOff>
    </xdr:to>
    <xdr:graphicFrame macro="">
      <xdr:nvGraphicFramePr>
        <xdr:cNvPr id="3" name="Chart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1558925</xdr:colOff>
      <xdr:row>14</xdr:row>
      <xdr:rowOff>6350</xdr:rowOff>
    </xdr:from>
    <xdr:ext cx="401648"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7100-000002000000}"/>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𝒙</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2" name="TextBox 1">
              <a:extLst>
                <a:ext uri="{FF2B5EF4-FFF2-40B4-BE49-F238E27FC236}">
                  <a16:creationId xmlns:a16="http://schemas.microsoft.com/office/drawing/2014/main" id="{EB618135-25C3-4166-8517-37E671157019}"/>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𝒙_𝒎𝒆𝒂𝒏</a:t>
              </a:r>
              <a:endParaRPr lang="en-US" sz="1100" b="1"/>
            </a:p>
          </xdr:txBody>
        </xdr:sp>
      </mc:Fallback>
    </mc:AlternateContent>
    <xdr:clientData/>
  </xdr:oneCellAnchor>
  <xdr:oneCellAnchor>
    <xdr:from>
      <xdr:col>0</xdr:col>
      <xdr:colOff>1558925</xdr:colOff>
      <xdr:row>14</xdr:row>
      <xdr:rowOff>174625</xdr:rowOff>
    </xdr:from>
    <xdr:ext cx="404598"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7100-000003000000}"/>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𝒚</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3" name="TextBox 2">
              <a:extLst>
                <a:ext uri="{FF2B5EF4-FFF2-40B4-BE49-F238E27FC236}">
                  <a16:creationId xmlns:a16="http://schemas.microsoft.com/office/drawing/2014/main" id="{2B8A9698-C853-47AF-BBDC-2F9226D4E388}"/>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𝒚_𝒎𝒆𝒂𝒏</a:t>
              </a:r>
              <a:endParaRPr lang="en-US" sz="1100" b="1"/>
            </a:p>
          </xdr:txBody>
        </xdr:sp>
      </mc:Fallback>
    </mc:AlternateContent>
    <xdr:clientData/>
  </xdr:oneCellAnchor>
  <xdr:oneCellAnchor>
    <xdr:from>
      <xdr:col>0</xdr:col>
      <xdr:colOff>1082675</xdr:colOff>
      <xdr:row>16</xdr:row>
      <xdr:rowOff>9525</xdr:rowOff>
    </xdr:from>
    <xdr:ext cx="65" cy="172227"/>
    <xdr:sp macro="" textlink="">
      <xdr:nvSpPr>
        <xdr:cNvPr id="4" name="TextBox 3">
          <a:extLst>
            <a:ext uri="{FF2B5EF4-FFF2-40B4-BE49-F238E27FC236}">
              <a16:creationId xmlns:a16="http://schemas.microsoft.com/office/drawing/2014/main" id="{00000000-0008-0000-7100-000004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16</xdr:row>
      <xdr:rowOff>9525</xdr:rowOff>
    </xdr:from>
    <xdr:ext cx="65" cy="172227"/>
    <xdr:sp macro="" textlink="">
      <xdr:nvSpPr>
        <xdr:cNvPr id="6" name="TextBox 5">
          <a:extLst>
            <a:ext uri="{FF2B5EF4-FFF2-40B4-BE49-F238E27FC236}">
              <a16:creationId xmlns:a16="http://schemas.microsoft.com/office/drawing/2014/main" id="{00000000-0008-0000-7100-000006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1</xdr:col>
      <xdr:colOff>688974</xdr:colOff>
      <xdr:row>0</xdr:row>
      <xdr:rowOff>0</xdr:rowOff>
    </xdr:from>
    <xdr:ext cx="993775" cy="17780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7100-00000800000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8" name="TextBox 7">
              <a:extLst>
                <a:ext uri="{FF2B5EF4-FFF2-40B4-BE49-F238E27FC236}">
                  <a16:creationId xmlns:a16="http://schemas.microsoft.com/office/drawing/2014/main" id="{788D17DE-E52B-41DF-A794-BBB536B133F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𝒙 − 𝒙_𝒎𝒆𝒂𝒏</a:t>
              </a:r>
              <a:endParaRPr lang="en-US" sz="1100" b="1"/>
            </a:p>
          </xdr:txBody>
        </xdr:sp>
      </mc:Fallback>
    </mc:AlternateContent>
    <xdr:clientData/>
  </xdr:oneCellAnchor>
  <xdr:oneCellAnchor>
    <xdr:from>
      <xdr:col>2</xdr:col>
      <xdr:colOff>520700</xdr:colOff>
      <xdr:row>0</xdr:row>
      <xdr:rowOff>0</xdr:rowOff>
    </xdr:from>
    <xdr:ext cx="993775" cy="17780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7100-00000B000000}"/>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11" name="TextBox 10">
              <a:extLst>
                <a:ext uri="{FF2B5EF4-FFF2-40B4-BE49-F238E27FC236}">
                  <a16:creationId xmlns:a16="http://schemas.microsoft.com/office/drawing/2014/main" id="{D88EA33B-AD1C-4837-95FE-9639E78461E6}"/>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𝒚 − 𝒚_𝒎𝒆𝒂𝒏</a:t>
              </a:r>
              <a:endParaRPr lang="en-US" sz="1100" b="1"/>
            </a:p>
          </xdr:txBody>
        </xdr:sp>
      </mc:Fallback>
    </mc:AlternateContent>
    <xdr:clientData/>
  </xdr:oneCellAnchor>
  <xdr:oneCellAnchor>
    <xdr:from>
      <xdr:col>3</xdr:col>
      <xdr:colOff>730250</xdr:colOff>
      <xdr:row>0</xdr:row>
      <xdr:rowOff>8466</xdr:rowOff>
    </xdr:from>
    <xdr:ext cx="1722262" cy="1756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7100-00000C000000}"/>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0">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oMath>
                </m:oMathPara>
              </a14:m>
              <a:endParaRPr lang="en-US" sz="1100" b="1">
                <a:solidFill>
                  <a:schemeClr val="bg1"/>
                </a:solidFill>
              </a:endParaRPr>
            </a:p>
          </xdr:txBody>
        </xdr:sp>
      </mc:Choice>
      <mc:Fallback xmlns="">
        <xdr:sp macro="" textlink="">
          <xdr:nvSpPr>
            <xdr:cNvPr id="12" name="TextBox 11">
              <a:extLst>
                <a:ext uri="{FF2B5EF4-FFF2-40B4-BE49-F238E27FC236}">
                  <a16:creationId xmlns:a16="http://schemas.microsoft.com/office/drawing/2014/main" id="{162D0BF7-9E8E-4011-B7F8-B8DC9E169186}"/>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solidFill>
                    <a:schemeClr val="bg1"/>
                  </a:solidFill>
                  <a:latin typeface="Cambria Math" panose="02040503050406030204" pitchFamily="18" charset="0"/>
                </a:rPr>
                <a:t>(𝒙 − 𝒙_𝒎𝒆𝒂𝒏)(𝒚 − 𝒚_𝒎𝒆𝒂𝒏)</a:t>
              </a:r>
              <a:endParaRPr lang="en-US" sz="1100" b="1">
                <a:solidFill>
                  <a:schemeClr val="bg1"/>
                </a:solidFill>
              </a:endParaRPr>
            </a:p>
          </xdr:txBody>
        </xdr:sp>
      </mc:Fallback>
    </mc:AlternateContent>
    <xdr:clientData/>
  </xdr:oneCellAnchor>
  <xdr:oneCellAnchor>
    <xdr:from>
      <xdr:col>5</xdr:col>
      <xdr:colOff>21872</xdr:colOff>
      <xdr:row>0</xdr:row>
      <xdr:rowOff>0</xdr:rowOff>
    </xdr:from>
    <xdr:ext cx="897746" cy="179665"/>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7100-00000D000000}"/>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e>
                      <m:sup>
                        <m:r>
                          <a:rPr lang="en-US" sz="1100" b="1" i="1">
                            <a:solidFill>
                              <a:schemeClr val="bg1"/>
                            </a:solidFill>
                            <a:latin typeface="Cambria Math" panose="02040503050406030204" pitchFamily="18" charset="0"/>
                          </a:rPr>
                          <m:t>𝟐</m:t>
                        </m:r>
                      </m:sup>
                    </m:sSup>
                  </m:oMath>
                </m:oMathPara>
              </a14:m>
              <a:endParaRPr lang="en-US" sz="1100" b="1"/>
            </a:p>
          </xdr:txBody>
        </xdr:sp>
      </mc:Choice>
      <mc:Fallback xmlns="">
        <xdr:sp macro="" textlink="">
          <xdr:nvSpPr>
            <xdr:cNvPr id="13" name="TextBox 12">
              <a:extLst>
                <a:ext uri="{FF2B5EF4-FFF2-40B4-BE49-F238E27FC236}">
                  <a16:creationId xmlns:a16="http://schemas.microsoft.com/office/drawing/2014/main" id="{CAD49804-7769-41D7-B9FD-4791EE7BFCA6}"/>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r>
                <a:rPr lang="en-US" sz="1100" b="1" i="0">
                  <a:solidFill>
                    <a:schemeClr val="bg1"/>
                  </a:solidFill>
                  <a:latin typeface="Cambria Math" panose="02040503050406030204" pitchFamily="18" charset="0"/>
                </a:rPr>
                <a:t>〖(𝒙 − 𝒙_𝒎𝒆𝒂𝒏)〗^𝟐</a:t>
              </a:r>
              <a:endParaRPr lang="en-US" sz="1100" b="1"/>
            </a:p>
          </xdr:txBody>
        </xdr:sp>
      </mc:Fallback>
    </mc:AlternateContent>
    <xdr:clientData/>
  </xdr:oneCellAnchor>
  <xdr:oneCellAnchor>
    <xdr:from>
      <xdr:col>0</xdr:col>
      <xdr:colOff>1082675</xdr:colOff>
      <xdr:row>17</xdr:row>
      <xdr:rowOff>9525</xdr:rowOff>
    </xdr:from>
    <xdr:ext cx="65" cy="172227"/>
    <xdr:sp macro="" textlink="">
      <xdr:nvSpPr>
        <xdr:cNvPr id="48" name="TextBox 47">
          <a:extLst>
            <a:ext uri="{FF2B5EF4-FFF2-40B4-BE49-F238E27FC236}">
              <a16:creationId xmlns:a16="http://schemas.microsoft.com/office/drawing/2014/main" id="{00000000-0008-0000-7100-000030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17</xdr:row>
      <xdr:rowOff>9525</xdr:rowOff>
    </xdr:from>
    <xdr:ext cx="65" cy="172227"/>
    <xdr:sp macro="" textlink="">
      <xdr:nvSpPr>
        <xdr:cNvPr id="49" name="TextBox 48">
          <a:extLst>
            <a:ext uri="{FF2B5EF4-FFF2-40B4-BE49-F238E27FC236}">
              <a16:creationId xmlns:a16="http://schemas.microsoft.com/office/drawing/2014/main" id="{00000000-0008-0000-7100-000031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5</xdr:col>
      <xdr:colOff>9525</xdr:colOff>
      <xdr:row>2</xdr:row>
      <xdr:rowOff>9525</xdr:rowOff>
    </xdr:from>
    <xdr:to>
      <xdr:col>12</xdr:col>
      <xdr:colOff>314325</xdr:colOff>
      <xdr:row>16</xdr:row>
      <xdr:rowOff>174625</xdr:rowOff>
    </xdr:to>
    <xdr:graphicFrame macro="">
      <xdr:nvGraphicFramePr>
        <xdr:cNvPr id="2" name="Chart 1">
          <a:extLst>
            <a:ext uri="{FF2B5EF4-FFF2-40B4-BE49-F238E27FC236}">
              <a16:creationId xmlns:a16="http://schemas.microsoft.com/office/drawing/2014/main" id="{00000000-0008-0000-B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15875</xdr:colOff>
      <xdr:row>0</xdr:row>
      <xdr:rowOff>174625</xdr:rowOff>
    </xdr:from>
    <xdr:to>
      <xdr:col>10</xdr:col>
      <xdr:colOff>320675</xdr:colOff>
      <xdr:row>15</xdr:row>
      <xdr:rowOff>155575</xdr:rowOff>
    </xdr:to>
    <xdr:graphicFrame macro="">
      <xdr:nvGraphicFramePr>
        <xdr:cNvPr id="2" name="Chart 1">
          <a:extLst>
            <a:ext uri="{FF2B5EF4-FFF2-40B4-BE49-F238E27FC236}">
              <a16:creationId xmlns:a16="http://schemas.microsoft.com/office/drawing/2014/main" id="{00000000-0008-0000-2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5292</xdr:colOff>
      <xdr:row>7</xdr:row>
      <xdr:rowOff>13404</xdr:rowOff>
    </xdr:from>
    <xdr:to>
      <xdr:col>6</xdr:col>
      <xdr:colOff>415926</xdr:colOff>
      <xdr:row>22</xdr:row>
      <xdr:rowOff>181679</xdr:rowOff>
    </xdr:to>
    <xdr:graphicFrame macro="">
      <xdr:nvGraphicFramePr>
        <xdr:cNvPr id="2" name="Chart 1">
          <a:extLst>
            <a:ext uri="{FF2B5EF4-FFF2-40B4-BE49-F238E27FC236}">
              <a16:creationId xmlns:a16="http://schemas.microsoft.com/office/drawing/2014/main" id="{00000000-0008-0000-3D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14111</xdr:colOff>
      <xdr:row>15</xdr:row>
      <xdr:rowOff>7056</xdr:rowOff>
    </xdr:from>
    <xdr:to>
      <xdr:col>11</xdr:col>
      <xdr:colOff>195101</xdr:colOff>
      <xdr:row>23</xdr:row>
      <xdr:rowOff>183444</xdr:rowOff>
    </xdr:to>
    <xdr:pic>
      <xdr:nvPicPr>
        <xdr:cNvPr id="48" name="Picture 47">
          <a:extLst>
            <a:ext uri="{FF2B5EF4-FFF2-40B4-BE49-F238E27FC236}">
              <a16:creationId xmlns:a16="http://schemas.microsoft.com/office/drawing/2014/main" id="{00000000-0008-0000-3D01-000030000000}"/>
            </a:ext>
          </a:extLst>
        </xdr:cNvPr>
        <xdr:cNvPicPr>
          <a:picLocks noChangeAspect="1"/>
        </xdr:cNvPicPr>
      </xdr:nvPicPr>
      <xdr:blipFill>
        <a:blip xmlns:r="http://schemas.openxmlformats.org/officeDocument/2006/relationships" r:embed="rId2"/>
        <a:stretch>
          <a:fillRect/>
        </a:stretch>
      </xdr:blipFill>
      <xdr:spPr>
        <a:xfrm>
          <a:off x="4762500" y="2758723"/>
          <a:ext cx="3179601" cy="16439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5" name="Chart 4">
          <a:extLst>
            <a:ext uri="{FF2B5EF4-FFF2-40B4-BE49-F238E27FC236}">
              <a16:creationId xmlns:a16="http://schemas.microsoft.com/office/drawing/2014/main" id="{00000000-0008-0000-3E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34925</xdr:colOff>
      <xdr:row>0</xdr:row>
      <xdr:rowOff>180975</xdr:rowOff>
    </xdr:from>
    <xdr:to>
      <xdr:col>11</xdr:col>
      <xdr:colOff>339725</xdr:colOff>
      <xdr:row>15</xdr:row>
      <xdr:rowOff>161925</xdr:rowOff>
    </xdr:to>
    <xdr:graphicFrame macro="">
      <xdr:nvGraphicFramePr>
        <xdr:cNvPr id="3" name="Chart 2">
          <a:extLst>
            <a:ext uri="{FF2B5EF4-FFF2-40B4-BE49-F238E27FC236}">
              <a16:creationId xmlns:a16="http://schemas.microsoft.com/office/drawing/2014/main" id="{00000000-0008-0000-3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22225</xdr:colOff>
      <xdr:row>1</xdr:row>
      <xdr:rowOff>3175</xdr:rowOff>
    </xdr:from>
    <xdr:to>
      <xdr:col>13</xdr:col>
      <xdr:colOff>327025</xdr:colOff>
      <xdr:row>15</xdr:row>
      <xdr:rowOff>168275</xdr:rowOff>
    </xdr:to>
    <xdr:graphicFrame macro="">
      <xdr:nvGraphicFramePr>
        <xdr:cNvPr id="3" name="Chart 2">
          <a:extLst>
            <a:ext uri="{FF2B5EF4-FFF2-40B4-BE49-F238E27FC236}">
              <a16:creationId xmlns:a16="http://schemas.microsoft.com/office/drawing/2014/main" id="{00000000-0008-0000-40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3" name="Chart 2">
          <a:extLst>
            <a:ext uri="{FF2B5EF4-FFF2-40B4-BE49-F238E27FC236}">
              <a16:creationId xmlns:a16="http://schemas.microsoft.com/office/drawing/2014/main" id="{00000000-0008-0000-41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79374</xdr:colOff>
      <xdr:row>1</xdr:row>
      <xdr:rowOff>3174</xdr:rowOff>
    </xdr:from>
    <xdr:to>
      <xdr:col>13</xdr:col>
      <xdr:colOff>12700</xdr:colOff>
      <xdr:row>19</xdr:row>
      <xdr:rowOff>31750</xdr:rowOff>
    </xdr:to>
    <xdr:graphicFrame macro="">
      <xdr:nvGraphicFramePr>
        <xdr:cNvPr id="4" name="Chart 3">
          <a:extLst>
            <a:ext uri="{FF2B5EF4-FFF2-40B4-BE49-F238E27FC236}">
              <a16:creationId xmlns:a16="http://schemas.microsoft.com/office/drawing/2014/main" id="{00000000-0008-0000-48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9524</xdr:colOff>
      <xdr:row>0</xdr:row>
      <xdr:rowOff>174624</xdr:rowOff>
    </xdr:from>
    <xdr:to>
      <xdr:col>14</xdr:col>
      <xdr:colOff>12699</xdr:colOff>
      <xdr:row>19</xdr:row>
      <xdr:rowOff>19049</xdr:rowOff>
    </xdr:to>
    <xdr:graphicFrame macro="">
      <xdr:nvGraphicFramePr>
        <xdr:cNvPr id="3" name="Chart 2">
          <a:extLst>
            <a:ext uri="{FF2B5EF4-FFF2-40B4-BE49-F238E27FC236}">
              <a16:creationId xmlns:a16="http://schemas.microsoft.com/office/drawing/2014/main" id="{00000000-0008-0000-4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0</xdr:row>
      <xdr:rowOff>180974</xdr:rowOff>
    </xdr:from>
    <xdr:to>
      <xdr:col>13</xdr:col>
      <xdr:colOff>311150</xdr:colOff>
      <xdr:row>19</xdr:row>
      <xdr:rowOff>12700</xdr:rowOff>
    </xdr:to>
    <xdr:graphicFrame macro="">
      <xdr:nvGraphicFramePr>
        <xdr:cNvPr id="2" name="Chart 1">
          <a:extLst>
            <a:ext uri="{FF2B5EF4-FFF2-40B4-BE49-F238E27FC236}">
              <a16:creationId xmlns:a16="http://schemas.microsoft.com/office/drawing/2014/main" id="{00000000-0008-0000-4B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9525</xdr:colOff>
      <xdr:row>1</xdr:row>
      <xdr:rowOff>9525</xdr:rowOff>
    </xdr:from>
    <xdr:to>
      <xdr:col>13</xdr:col>
      <xdr:colOff>23812</xdr:colOff>
      <xdr:row>21</xdr:row>
      <xdr:rowOff>7936</xdr:rowOff>
    </xdr:to>
    <xdr:graphicFrame macro="">
      <xdr:nvGraphicFramePr>
        <xdr:cNvPr id="5" name="Chart 4">
          <a:extLst>
            <a:ext uri="{FF2B5EF4-FFF2-40B4-BE49-F238E27FC236}">
              <a16:creationId xmlns:a16="http://schemas.microsoft.com/office/drawing/2014/main" id="{00000000-0008-0000-4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15875</xdr:colOff>
      <xdr:row>1</xdr:row>
      <xdr:rowOff>9525</xdr:rowOff>
    </xdr:from>
    <xdr:to>
      <xdr:col>11</xdr:col>
      <xdr:colOff>320675</xdr:colOff>
      <xdr:row>15</xdr:row>
      <xdr:rowOff>174625</xdr:rowOff>
    </xdr:to>
    <xdr:graphicFrame macro="">
      <xdr:nvGraphicFramePr>
        <xdr:cNvPr id="4" name="Chart 3">
          <a:extLst>
            <a:ext uri="{FF2B5EF4-FFF2-40B4-BE49-F238E27FC236}">
              <a16:creationId xmlns:a16="http://schemas.microsoft.com/office/drawing/2014/main" id="{00000000-0008-0000-4D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3175</xdr:colOff>
      <xdr:row>1</xdr:row>
      <xdr:rowOff>3175</xdr:rowOff>
    </xdr:from>
    <xdr:to>
      <xdr:col>11</xdr:col>
      <xdr:colOff>307975</xdr:colOff>
      <xdr:row>17</xdr:row>
      <xdr:rowOff>168275</xdr:rowOff>
    </xdr:to>
    <xdr:graphicFrame macro="">
      <xdr:nvGraphicFramePr>
        <xdr:cNvPr id="3" name="Chart 2">
          <a:extLst>
            <a:ext uri="{FF2B5EF4-FFF2-40B4-BE49-F238E27FC236}">
              <a16:creationId xmlns:a16="http://schemas.microsoft.com/office/drawing/2014/main" id="{00000000-0008-0000-4E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3" name="Chart 2">
          <a:extLst>
            <a:ext uri="{FF2B5EF4-FFF2-40B4-BE49-F238E27FC236}">
              <a16:creationId xmlns:a16="http://schemas.microsoft.com/office/drawing/2014/main" id="{00000000-0008-0000-4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15</xdr:row>
      <xdr:rowOff>161925</xdr:rowOff>
    </xdr:to>
    <xdr:graphicFrame macro="">
      <xdr:nvGraphicFramePr>
        <xdr:cNvPr id="2" name="Chart 1">
          <a:extLst>
            <a:ext uri="{FF2B5EF4-FFF2-40B4-BE49-F238E27FC236}">
              <a16:creationId xmlns:a16="http://schemas.microsoft.com/office/drawing/2014/main" id="{00000000-0008-0000-50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9525</xdr:colOff>
      <xdr:row>1</xdr:row>
      <xdr:rowOff>15875</xdr:rowOff>
    </xdr:from>
    <xdr:to>
      <xdr:col>11</xdr:col>
      <xdr:colOff>314325</xdr:colOff>
      <xdr:row>15</xdr:row>
      <xdr:rowOff>180975</xdr:rowOff>
    </xdr:to>
    <xdr:graphicFrame macro="">
      <xdr:nvGraphicFramePr>
        <xdr:cNvPr id="2" name="Chart 1">
          <a:extLst>
            <a:ext uri="{FF2B5EF4-FFF2-40B4-BE49-F238E27FC236}">
              <a16:creationId xmlns:a16="http://schemas.microsoft.com/office/drawing/2014/main" id="{00000000-0008-0000-5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117475</xdr:colOff>
      <xdr:row>1</xdr:row>
      <xdr:rowOff>174625</xdr:rowOff>
    </xdr:from>
    <xdr:to>
      <xdr:col>13</xdr:col>
      <xdr:colOff>422275</xdr:colOff>
      <xdr:row>16</xdr:row>
      <xdr:rowOff>155575</xdr:rowOff>
    </xdr:to>
    <xdr:graphicFrame macro="">
      <xdr:nvGraphicFramePr>
        <xdr:cNvPr id="4" name="Chart 3">
          <a:extLst>
            <a:ext uri="{FF2B5EF4-FFF2-40B4-BE49-F238E27FC236}">
              <a16:creationId xmlns:a16="http://schemas.microsoft.com/office/drawing/2014/main" id="{00000000-0008-0000-52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4" name="Chart 3">
          <a:extLst>
            <a:ext uri="{FF2B5EF4-FFF2-40B4-BE49-F238E27FC236}">
              <a16:creationId xmlns:a16="http://schemas.microsoft.com/office/drawing/2014/main" id="{00000000-0008-0000-53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120650</xdr:colOff>
      <xdr:row>2</xdr:row>
      <xdr:rowOff>25400</xdr:rowOff>
    </xdr:from>
    <xdr:to>
      <xdr:col>4</xdr:col>
      <xdr:colOff>501650</xdr:colOff>
      <xdr:row>5</xdr:row>
      <xdr:rowOff>19050</xdr:rowOff>
    </xdr:to>
    <xdr:sp macro="" textlink="">
      <xdr:nvSpPr>
        <xdr:cNvPr id="2" name="Rectangle 1">
          <a:extLst>
            <a:ext uri="{FF2B5EF4-FFF2-40B4-BE49-F238E27FC236}">
              <a16:creationId xmlns:a16="http://schemas.microsoft.com/office/drawing/2014/main" id="{00000000-0008-0000-5401-000002000000}"/>
            </a:ext>
          </a:extLst>
        </xdr:cNvPr>
        <xdr:cNvSpPr/>
      </xdr:nvSpPr>
      <xdr:spPr>
        <a:xfrm>
          <a:off x="2990850" y="577850"/>
          <a:ext cx="381000" cy="5524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603250</xdr:colOff>
      <xdr:row>1</xdr:row>
      <xdr:rowOff>0</xdr:rowOff>
    </xdr:from>
    <xdr:to>
      <xdr:col>8</xdr:col>
      <xdr:colOff>44450</xdr:colOff>
      <xdr:row>1</xdr:row>
      <xdr:rowOff>158750</xdr:rowOff>
    </xdr:to>
    <xdr:sp macro="" textlink="">
      <xdr:nvSpPr>
        <xdr:cNvPr id="3" name="Rectangle 2">
          <a:extLst>
            <a:ext uri="{FF2B5EF4-FFF2-40B4-BE49-F238E27FC236}">
              <a16:creationId xmlns:a16="http://schemas.microsoft.com/office/drawing/2014/main" id="{00000000-0008-0000-5401-000003000000}"/>
            </a:ext>
          </a:extLst>
        </xdr:cNvPr>
        <xdr:cNvSpPr/>
      </xdr:nvSpPr>
      <xdr:spPr>
        <a:xfrm>
          <a:off x="3473450" y="368300"/>
          <a:ext cx="1879600"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311150</xdr:colOff>
      <xdr:row>5</xdr:row>
      <xdr:rowOff>19050</xdr:rowOff>
    </xdr:from>
    <xdr:to>
      <xdr:col>4</xdr:col>
      <xdr:colOff>311150</xdr:colOff>
      <xdr:row>6</xdr:row>
      <xdr:rowOff>0</xdr:rowOff>
    </xdr:to>
    <xdr:cxnSp macro="">
      <xdr:nvCxnSpPr>
        <xdr:cNvPr id="7" name="Straight Arrow Connector 6">
          <a:extLst>
            <a:ext uri="{FF2B5EF4-FFF2-40B4-BE49-F238E27FC236}">
              <a16:creationId xmlns:a16="http://schemas.microsoft.com/office/drawing/2014/main" id="{00000000-0008-0000-5401-000007000000}"/>
            </a:ext>
          </a:extLst>
        </xdr:cNvPr>
        <xdr:cNvCxnSpPr>
          <a:endCxn id="2" idx="2"/>
        </xdr:cNvCxnSpPr>
      </xdr:nvCxnSpPr>
      <xdr:spPr>
        <a:xfrm flipV="1">
          <a:off x="3181350" y="1130300"/>
          <a:ext cx="0" cy="16510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50800</xdr:colOff>
      <xdr:row>1</xdr:row>
      <xdr:rowOff>79375</xdr:rowOff>
    </xdr:from>
    <xdr:to>
      <xdr:col>8</xdr:col>
      <xdr:colOff>603250</xdr:colOff>
      <xdr:row>1</xdr:row>
      <xdr:rowOff>82550</xdr:rowOff>
    </xdr:to>
    <xdr:cxnSp macro="">
      <xdr:nvCxnSpPr>
        <xdr:cNvPr id="10" name="Straight Arrow Connector 9">
          <a:extLst>
            <a:ext uri="{FF2B5EF4-FFF2-40B4-BE49-F238E27FC236}">
              <a16:creationId xmlns:a16="http://schemas.microsoft.com/office/drawing/2014/main" id="{00000000-0008-0000-5401-00000A000000}"/>
            </a:ext>
          </a:extLst>
        </xdr:cNvPr>
        <xdr:cNvCxnSpPr/>
      </xdr:nvCxnSpPr>
      <xdr:spPr>
        <a:xfrm flipH="1" flipV="1">
          <a:off x="5359400" y="447675"/>
          <a:ext cx="552450" cy="3175"/>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12700</xdr:colOff>
      <xdr:row>2</xdr:row>
      <xdr:rowOff>0</xdr:rowOff>
    </xdr:from>
    <xdr:to>
      <xdr:col>8</xdr:col>
      <xdr:colOff>25400</xdr:colOff>
      <xdr:row>5</xdr:row>
      <xdr:rowOff>0</xdr:rowOff>
    </xdr:to>
    <xdr:sp macro="" textlink="">
      <xdr:nvSpPr>
        <xdr:cNvPr id="17" name="Rectangle 16">
          <a:extLst>
            <a:ext uri="{FF2B5EF4-FFF2-40B4-BE49-F238E27FC236}">
              <a16:creationId xmlns:a16="http://schemas.microsoft.com/office/drawing/2014/main" id="{00000000-0008-0000-5401-000011000000}"/>
            </a:ext>
          </a:extLst>
        </xdr:cNvPr>
        <xdr:cNvSpPr/>
      </xdr:nvSpPr>
      <xdr:spPr>
        <a:xfrm>
          <a:off x="3492500" y="552450"/>
          <a:ext cx="1841500" cy="5588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12700</xdr:colOff>
      <xdr:row>3</xdr:row>
      <xdr:rowOff>107950</xdr:rowOff>
    </xdr:from>
    <xdr:to>
      <xdr:col>9</xdr:col>
      <xdr:colOff>0</xdr:colOff>
      <xdr:row>3</xdr:row>
      <xdr:rowOff>111126</xdr:rowOff>
    </xdr:to>
    <xdr:cxnSp macro="">
      <xdr:nvCxnSpPr>
        <xdr:cNvPr id="20" name="Straight Arrow Connector 19">
          <a:extLst>
            <a:ext uri="{FF2B5EF4-FFF2-40B4-BE49-F238E27FC236}">
              <a16:creationId xmlns:a16="http://schemas.microsoft.com/office/drawing/2014/main" id="{00000000-0008-0000-5401-000014000000}"/>
            </a:ext>
          </a:extLst>
        </xdr:cNvPr>
        <xdr:cNvCxnSpPr/>
      </xdr:nvCxnSpPr>
      <xdr:spPr>
        <a:xfrm flipH="1">
          <a:off x="5321300" y="844550"/>
          <a:ext cx="596900" cy="3176"/>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0</xdr:row>
      <xdr:rowOff>342900</xdr:rowOff>
    </xdr:from>
    <xdr:to>
      <xdr:col>4</xdr:col>
      <xdr:colOff>533400</xdr:colOff>
      <xdr:row>1</xdr:row>
      <xdr:rowOff>158750</xdr:rowOff>
    </xdr:to>
    <xdr:sp macro="" textlink="">
      <xdr:nvSpPr>
        <xdr:cNvPr id="24" name="Rectangle 23">
          <a:extLst>
            <a:ext uri="{FF2B5EF4-FFF2-40B4-BE49-F238E27FC236}">
              <a16:creationId xmlns:a16="http://schemas.microsoft.com/office/drawing/2014/main" id="{00000000-0008-0000-5401-000018000000}"/>
            </a:ext>
          </a:extLst>
        </xdr:cNvPr>
        <xdr:cNvSpPr/>
      </xdr:nvSpPr>
      <xdr:spPr>
        <a:xfrm>
          <a:off x="2959100" y="342900"/>
          <a:ext cx="444500" cy="1841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260350</xdr:colOff>
      <xdr:row>1</xdr:row>
      <xdr:rowOff>107950</xdr:rowOff>
    </xdr:from>
    <xdr:to>
      <xdr:col>4</xdr:col>
      <xdr:colOff>50800</xdr:colOff>
      <xdr:row>7</xdr:row>
      <xdr:rowOff>177800</xdr:rowOff>
    </xdr:to>
    <xdr:cxnSp macro="">
      <xdr:nvCxnSpPr>
        <xdr:cNvPr id="30" name="Straight Arrow Connector 29">
          <a:extLst>
            <a:ext uri="{FF2B5EF4-FFF2-40B4-BE49-F238E27FC236}">
              <a16:creationId xmlns:a16="http://schemas.microsoft.com/office/drawing/2014/main" id="{00000000-0008-0000-5401-00001E000000}"/>
            </a:ext>
          </a:extLst>
        </xdr:cNvPr>
        <xdr:cNvCxnSpPr/>
      </xdr:nvCxnSpPr>
      <xdr:spPr>
        <a:xfrm flipV="1">
          <a:off x="2520950" y="476250"/>
          <a:ext cx="400050" cy="118745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98425</xdr:colOff>
      <xdr:row>1</xdr:row>
      <xdr:rowOff>180975</xdr:rowOff>
    </xdr:from>
    <xdr:to>
      <xdr:col>13</xdr:col>
      <xdr:colOff>403225</xdr:colOff>
      <xdr:row>16</xdr:row>
      <xdr:rowOff>155575</xdr:rowOff>
    </xdr:to>
    <xdr:graphicFrame macro="">
      <xdr:nvGraphicFramePr>
        <xdr:cNvPr id="7" name="Chart 6">
          <a:extLst>
            <a:ext uri="{FF2B5EF4-FFF2-40B4-BE49-F238E27FC236}">
              <a16:creationId xmlns:a16="http://schemas.microsoft.com/office/drawing/2014/main" id="{00000000-0008-0000-5D01-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606425</xdr:colOff>
      <xdr:row>1</xdr:row>
      <xdr:rowOff>3175</xdr:rowOff>
    </xdr:from>
    <xdr:to>
      <xdr:col>10</xdr:col>
      <xdr:colOff>301625</xdr:colOff>
      <xdr:row>15</xdr:row>
      <xdr:rowOff>168275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5F01-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90445" y="186055"/>
              <a:ext cx="4572000" cy="2725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187325</xdr:colOff>
      <xdr:row>2</xdr:row>
      <xdr:rowOff>3175</xdr:rowOff>
    </xdr:from>
    <xdr:to>
      <xdr:col>10</xdr:col>
      <xdr:colOff>492125</xdr:colOff>
      <xdr:row>16</xdr:row>
      <xdr:rowOff>168275</xdr:rowOff>
    </xdr:to>
    <xdr:graphicFrame macro="">
      <xdr:nvGraphicFramePr>
        <xdr:cNvPr id="4" name="Chart 3">
          <a:extLst>
            <a:ext uri="{FF2B5EF4-FFF2-40B4-BE49-F238E27FC236}">
              <a16:creationId xmlns:a16="http://schemas.microsoft.com/office/drawing/2014/main" id="{00000000-0008-0000-60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174625</xdr:colOff>
      <xdr:row>1</xdr:row>
      <xdr:rowOff>174625</xdr:rowOff>
    </xdr:from>
    <xdr:to>
      <xdr:col>9</xdr:col>
      <xdr:colOff>479425</xdr:colOff>
      <xdr:row>16</xdr:row>
      <xdr:rowOff>155575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6101-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48205" y="357505"/>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66675</xdr:colOff>
      <xdr:row>3</xdr:row>
      <xdr:rowOff>79375</xdr:rowOff>
    </xdr:from>
    <xdr:to>
      <xdr:col>10</xdr:col>
      <xdr:colOff>371475</xdr:colOff>
      <xdr:row>18</xdr:row>
      <xdr:rowOff>60325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2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26155" y="628015"/>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142875</xdr:colOff>
      <xdr:row>0</xdr:row>
      <xdr:rowOff>174625</xdr:rowOff>
    </xdr:from>
    <xdr:to>
      <xdr:col>9</xdr:col>
      <xdr:colOff>447675</xdr:colOff>
      <xdr:row>15</xdr:row>
      <xdr:rowOff>155575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3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39415" y="174625"/>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117475</xdr:colOff>
      <xdr:row>0</xdr:row>
      <xdr:rowOff>180975</xdr:rowOff>
    </xdr:from>
    <xdr:to>
      <xdr:col>10</xdr:col>
      <xdr:colOff>422275</xdr:colOff>
      <xdr:row>19</xdr:row>
      <xdr:rowOff>161925</xdr:rowOff>
    </xdr:to>
    <xdr:graphicFrame macro="">
      <xdr:nvGraphicFramePr>
        <xdr:cNvPr id="6" name="Chart 5">
          <a:extLst>
            <a:ext uri="{FF2B5EF4-FFF2-40B4-BE49-F238E27FC236}">
              <a16:creationId xmlns:a16="http://schemas.microsoft.com/office/drawing/2014/main" id="{00000000-0008-0000-6401-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3</xdr:col>
      <xdr:colOff>3175</xdr:colOff>
      <xdr:row>3</xdr:row>
      <xdr:rowOff>9525</xdr:rowOff>
    </xdr:from>
    <xdr:to>
      <xdr:col>6</xdr:col>
      <xdr:colOff>371475</xdr:colOff>
      <xdr:row>17</xdr:row>
      <xdr:rowOff>174625</xdr:rowOff>
    </xdr:to>
    <xdr:graphicFrame macro="">
      <xdr:nvGraphicFramePr>
        <xdr:cNvPr id="5" name="Chart 4">
          <a:extLst>
            <a:ext uri="{FF2B5EF4-FFF2-40B4-BE49-F238E27FC236}">
              <a16:creationId xmlns:a16="http://schemas.microsoft.com/office/drawing/2014/main" id="{00000000-0008-0000-7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3</xdr:col>
      <xdr:colOff>670718</xdr:colOff>
      <xdr:row>6</xdr:row>
      <xdr:rowOff>57150</xdr:rowOff>
    </xdr:from>
    <xdr:to>
      <xdr:col>7</xdr:col>
      <xdr:colOff>301625</xdr:colOff>
      <xdr:row>22</xdr:row>
      <xdr:rowOff>39688</xdr:rowOff>
    </xdr:to>
    <xdr:graphicFrame macro="">
      <xdr:nvGraphicFramePr>
        <xdr:cNvPr id="3" name="Chart 2">
          <a:extLst>
            <a:ext uri="{FF2B5EF4-FFF2-40B4-BE49-F238E27FC236}">
              <a16:creationId xmlns:a16="http://schemas.microsoft.com/office/drawing/2014/main" id="{00000000-0008-0000-B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oneCellAnchor>
    <xdr:from>
      <xdr:col>4</xdr:col>
      <xdr:colOff>104775</xdr:colOff>
      <xdr:row>8</xdr:row>
      <xdr:rowOff>73025</xdr:rowOff>
    </xdr:from>
    <xdr:ext cx="65" cy="172227"/>
    <xdr:sp macro="" textlink="">
      <xdr:nvSpPr>
        <xdr:cNvPr id="2" name="TextBox 1">
          <a:extLst>
            <a:ext uri="{FF2B5EF4-FFF2-40B4-BE49-F238E27FC236}">
              <a16:creationId xmlns:a16="http://schemas.microsoft.com/office/drawing/2014/main" id="{00000000-0008-0000-BB01-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3</xdr:col>
      <xdr:colOff>34925</xdr:colOff>
      <xdr:row>0</xdr:row>
      <xdr:rowOff>180975</xdr:rowOff>
    </xdr:from>
    <xdr:to>
      <xdr:col>10</xdr:col>
      <xdr:colOff>339725</xdr:colOff>
      <xdr:row>15</xdr:row>
      <xdr:rowOff>161925</xdr:rowOff>
    </xdr:to>
    <xdr:graphicFrame macro="">
      <xdr:nvGraphicFramePr>
        <xdr:cNvPr id="3" name="Chart 2">
          <a:extLst>
            <a:ext uri="{FF2B5EF4-FFF2-40B4-BE49-F238E27FC236}">
              <a16:creationId xmlns:a16="http://schemas.microsoft.com/office/drawing/2014/main" id="{00000000-0008-0000-BB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2</xdr:col>
      <xdr:colOff>53974</xdr:colOff>
      <xdr:row>0</xdr:row>
      <xdr:rowOff>47624</xdr:rowOff>
    </xdr:from>
    <xdr:to>
      <xdr:col>9</xdr:col>
      <xdr:colOff>527049</xdr:colOff>
      <xdr:row>15</xdr:row>
      <xdr:rowOff>38099</xdr:rowOff>
    </xdr:to>
    <xdr:graphicFrame macro="">
      <xdr:nvGraphicFramePr>
        <xdr:cNvPr id="3" name="Chart 2">
          <a:extLst>
            <a:ext uri="{FF2B5EF4-FFF2-40B4-BE49-F238E27FC236}">
              <a16:creationId xmlns:a16="http://schemas.microsoft.com/office/drawing/2014/main" id="{00000000-0008-0000-C7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292100</xdr:colOff>
      <xdr:row>5</xdr:row>
      <xdr:rowOff>31750</xdr:rowOff>
    </xdr:from>
    <xdr:to>
      <xdr:col>7</xdr:col>
      <xdr:colOff>298450</xdr:colOff>
      <xdr:row>12</xdr:row>
      <xdr:rowOff>25400</xdr:rowOff>
    </xdr:to>
    <xdr:cxnSp macro="">
      <xdr:nvCxnSpPr>
        <xdr:cNvPr id="5" name="Straight Arrow Connector 4">
          <a:extLst>
            <a:ext uri="{FF2B5EF4-FFF2-40B4-BE49-F238E27FC236}">
              <a16:creationId xmlns:a16="http://schemas.microsoft.com/office/drawing/2014/main" id="{00000000-0008-0000-C701-000005000000}"/>
            </a:ext>
          </a:extLst>
        </xdr:cNvPr>
        <xdr:cNvCxnSpPr/>
      </xdr:nvCxnSpPr>
      <xdr:spPr>
        <a:xfrm flipV="1">
          <a:off x="4851400" y="952500"/>
          <a:ext cx="6350" cy="128270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xdr:colOff>
      <xdr:row>5</xdr:row>
      <xdr:rowOff>44450</xdr:rowOff>
    </xdr:from>
    <xdr:to>
      <xdr:col>7</xdr:col>
      <xdr:colOff>292100</xdr:colOff>
      <xdr:row>5</xdr:row>
      <xdr:rowOff>44450</xdr:rowOff>
    </xdr:to>
    <xdr:cxnSp macro="">
      <xdr:nvCxnSpPr>
        <xdr:cNvPr id="6" name="Straight Arrow Connector 5">
          <a:extLst>
            <a:ext uri="{FF2B5EF4-FFF2-40B4-BE49-F238E27FC236}">
              <a16:creationId xmlns:a16="http://schemas.microsoft.com/office/drawing/2014/main" id="{00000000-0008-0000-C701-000006000000}"/>
            </a:ext>
          </a:extLst>
        </xdr:cNvPr>
        <xdr:cNvCxnSpPr/>
      </xdr:nvCxnSpPr>
      <xdr:spPr>
        <a:xfrm>
          <a:off x="2127250" y="965200"/>
          <a:ext cx="2724150" cy="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606425</xdr:colOff>
      <xdr:row>1</xdr:row>
      <xdr:rowOff>9525</xdr:rowOff>
    </xdr:from>
    <xdr:to>
      <xdr:col>10</xdr:col>
      <xdr:colOff>301625</xdr:colOff>
      <xdr:row>15</xdr:row>
      <xdr:rowOff>174625</xdr:rowOff>
    </xdr:to>
    <xdr:graphicFrame macro="">
      <xdr:nvGraphicFramePr>
        <xdr:cNvPr id="3" name="Chart 2">
          <a:extLst>
            <a:ext uri="{FF2B5EF4-FFF2-40B4-BE49-F238E27FC236}">
              <a16:creationId xmlns:a16="http://schemas.microsoft.com/office/drawing/2014/main" id="{00000000-0008-0000-ED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104775</xdr:colOff>
      <xdr:row>0</xdr:row>
      <xdr:rowOff>174625</xdr:rowOff>
    </xdr:from>
    <xdr:to>
      <xdr:col>11</xdr:col>
      <xdr:colOff>409575</xdr:colOff>
      <xdr:row>15</xdr:row>
      <xdr:rowOff>155575</xdr:rowOff>
    </xdr:to>
    <xdr:graphicFrame macro="">
      <xdr:nvGraphicFramePr>
        <xdr:cNvPr id="3" name="Chart 2">
          <a:extLst>
            <a:ext uri="{FF2B5EF4-FFF2-40B4-BE49-F238E27FC236}">
              <a16:creationId xmlns:a16="http://schemas.microsoft.com/office/drawing/2014/main" id="{00000000-0008-0000-63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3</xdr:col>
      <xdr:colOff>161925</xdr:colOff>
      <xdr:row>0</xdr:row>
      <xdr:rowOff>174625</xdr:rowOff>
    </xdr:from>
    <xdr:to>
      <xdr:col>10</xdr:col>
      <xdr:colOff>466725</xdr:colOff>
      <xdr:row>15</xdr:row>
      <xdr:rowOff>155575</xdr:rowOff>
    </xdr:to>
    <xdr:graphicFrame macro="">
      <xdr:nvGraphicFramePr>
        <xdr:cNvPr id="2" name="Chart 1">
          <a:extLst>
            <a:ext uri="{FF2B5EF4-FFF2-40B4-BE49-F238E27FC236}">
              <a16:creationId xmlns:a16="http://schemas.microsoft.com/office/drawing/2014/main" id="{00000000-0008-0000-6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7</xdr:row>
      <xdr:rowOff>165100</xdr:rowOff>
    </xdr:from>
    <xdr:to>
      <xdr:col>8</xdr:col>
      <xdr:colOff>355600</xdr:colOff>
      <xdr:row>12</xdr:row>
      <xdr:rowOff>146050</xdr:rowOff>
    </xdr:to>
    <xdr:cxnSp macro="">
      <xdr:nvCxnSpPr>
        <xdr:cNvPr id="4" name="Straight Connector 3">
          <a:extLst>
            <a:ext uri="{FF2B5EF4-FFF2-40B4-BE49-F238E27FC236}">
              <a16:creationId xmlns:a16="http://schemas.microsoft.com/office/drawing/2014/main" id="{00000000-0008-0000-6A02-000004000000}"/>
            </a:ext>
          </a:extLst>
        </xdr:cNvPr>
        <xdr:cNvCxnSpPr/>
      </xdr:nvCxnSpPr>
      <xdr:spPr>
        <a:xfrm>
          <a:off x="6680200" y="1454150"/>
          <a:ext cx="6350" cy="9017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527050</xdr:colOff>
      <xdr:row>7</xdr:row>
      <xdr:rowOff>146050</xdr:rowOff>
    </xdr:from>
    <xdr:to>
      <xdr:col>8</xdr:col>
      <xdr:colOff>349250</xdr:colOff>
      <xdr:row>7</xdr:row>
      <xdr:rowOff>146050</xdr:rowOff>
    </xdr:to>
    <xdr:cxnSp macro="">
      <xdr:nvCxnSpPr>
        <xdr:cNvPr id="6" name="Straight Connector 5">
          <a:extLst>
            <a:ext uri="{FF2B5EF4-FFF2-40B4-BE49-F238E27FC236}">
              <a16:creationId xmlns:a16="http://schemas.microsoft.com/office/drawing/2014/main" id="{00000000-0008-0000-6A02-000006000000}"/>
            </a:ext>
          </a:extLst>
        </xdr:cNvPr>
        <xdr:cNvCxnSpPr/>
      </xdr:nvCxnSpPr>
      <xdr:spPr>
        <a:xfrm flipH="1">
          <a:off x="4419600" y="1435100"/>
          <a:ext cx="22606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7</xdr:row>
      <xdr:rowOff>152400</xdr:rowOff>
    </xdr:from>
    <xdr:to>
      <xdr:col>10</xdr:col>
      <xdr:colOff>247650</xdr:colOff>
      <xdr:row>9</xdr:row>
      <xdr:rowOff>31750</xdr:rowOff>
    </xdr:to>
    <xdr:sp macro="" textlink="">
      <xdr:nvSpPr>
        <xdr:cNvPr id="8" name="TextBox 7">
          <a:extLst>
            <a:ext uri="{FF2B5EF4-FFF2-40B4-BE49-F238E27FC236}">
              <a16:creationId xmlns:a16="http://schemas.microsoft.com/office/drawing/2014/main" id="{00000000-0008-0000-6A02-000008000000}"/>
            </a:ext>
          </a:extLst>
        </xdr:cNvPr>
        <xdr:cNvSpPr txBox="1"/>
      </xdr:nvSpPr>
      <xdr:spPr>
        <a:xfrm>
          <a:off x="6769100" y="1441450"/>
          <a:ext cx="10287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(40,$6,416.00)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41275</xdr:colOff>
      <xdr:row>0</xdr:row>
      <xdr:rowOff>28575</xdr:rowOff>
    </xdr:from>
    <xdr:to>
      <xdr:col>10</xdr:col>
      <xdr:colOff>346075</xdr:colOff>
      <xdr:row>15</xdr:row>
      <xdr:rowOff>9525</xdr:rowOff>
    </xdr:to>
    <xdr:graphicFrame macro="">
      <xdr:nvGraphicFramePr>
        <xdr:cNvPr id="4" name="Chart 3">
          <a:extLst>
            <a:ext uri="{FF2B5EF4-FFF2-40B4-BE49-F238E27FC236}">
              <a16:creationId xmlns:a16="http://schemas.microsoft.com/office/drawing/2014/main" id="{00000000-0008-0000-9F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34925</xdr:colOff>
      <xdr:row>0</xdr:row>
      <xdr:rowOff>44450</xdr:rowOff>
    </xdr:from>
    <xdr:to>
      <xdr:col>10</xdr:col>
      <xdr:colOff>339725</xdr:colOff>
      <xdr:row>15</xdr:row>
      <xdr:rowOff>25400</xdr:rowOff>
    </xdr:to>
    <xdr:graphicFrame macro="">
      <xdr:nvGraphicFramePr>
        <xdr:cNvPr id="3" name="Chart 2">
          <a:extLst>
            <a:ext uri="{FF2B5EF4-FFF2-40B4-BE49-F238E27FC236}">
              <a16:creationId xmlns:a16="http://schemas.microsoft.com/office/drawing/2014/main" id="{00000000-0008-0000-A0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85725</xdr:colOff>
      <xdr:row>0</xdr:row>
      <xdr:rowOff>161925</xdr:rowOff>
    </xdr:from>
    <xdr:to>
      <xdr:col>11</xdr:col>
      <xdr:colOff>390525</xdr:colOff>
      <xdr:row>15</xdr:row>
      <xdr:rowOff>142875</xdr:rowOff>
    </xdr:to>
    <xdr:graphicFrame macro="">
      <xdr:nvGraphicFramePr>
        <xdr:cNvPr id="2" name="Chart 1">
          <a:extLst>
            <a:ext uri="{FF2B5EF4-FFF2-40B4-BE49-F238E27FC236}">
              <a16:creationId xmlns:a16="http://schemas.microsoft.com/office/drawing/2014/main" id="{00000000-0008-0000-A1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2</xdr:col>
      <xdr:colOff>34925</xdr:colOff>
      <xdr:row>0</xdr:row>
      <xdr:rowOff>41275</xdr:rowOff>
    </xdr:from>
    <xdr:to>
      <xdr:col>9</xdr:col>
      <xdr:colOff>339725</xdr:colOff>
      <xdr:row>15</xdr:row>
      <xdr:rowOff>22225</xdr:rowOff>
    </xdr:to>
    <xdr:graphicFrame macro="">
      <xdr:nvGraphicFramePr>
        <xdr:cNvPr id="4" name="Chart 3">
          <a:extLst>
            <a:ext uri="{FF2B5EF4-FFF2-40B4-BE49-F238E27FC236}">
              <a16:creationId xmlns:a16="http://schemas.microsoft.com/office/drawing/2014/main" id="{00000000-0008-0000-A2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4</xdr:col>
      <xdr:colOff>60325</xdr:colOff>
      <xdr:row>0</xdr:row>
      <xdr:rowOff>47625</xdr:rowOff>
    </xdr:from>
    <xdr:to>
      <xdr:col>11</xdr:col>
      <xdr:colOff>365125</xdr:colOff>
      <xdr:row>15</xdr:row>
      <xdr:rowOff>28575</xdr:rowOff>
    </xdr:to>
    <xdr:graphicFrame macro="">
      <xdr:nvGraphicFramePr>
        <xdr:cNvPr id="4" name="Chart 3">
          <a:extLst>
            <a:ext uri="{FF2B5EF4-FFF2-40B4-BE49-F238E27FC236}">
              <a16:creationId xmlns:a16="http://schemas.microsoft.com/office/drawing/2014/main" id="{00000000-0008-0000-A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4</xdr:col>
      <xdr:colOff>47625</xdr:colOff>
      <xdr:row>0</xdr:row>
      <xdr:rowOff>34925</xdr:rowOff>
    </xdr:from>
    <xdr:to>
      <xdr:col>11</xdr:col>
      <xdr:colOff>352425</xdr:colOff>
      <xdr:row>15</xdr:row>
      <xdr:rowOff>15875</xdr:rowOff>
    </xdr:to>
    <xdr:graphicFrame macro="">
      <xdr:nvGraphicFramePr>
        <xdr:cNvPr id="3" name="Chart 2">
          <a:extLst>
            <a:ext uri="{FF2B5EF4-FFF2-40B4-BE49-F238E27FC236}">
              <a16:creationId xmlns:a16="http://schemas.microsoft.com/office/drawing/2014/main" id="{00000000-0008-0000-A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2</xdr:col>
      <xdr:colOff>85725</xdr:colOff>
      <xdr:row>0</xdr:row>
      <xdr:rowOff>85725</xdr:rowOff>
    </xdr:from>
    <xdr:to>
      <xdr:col>9</xdr:col>
      <xdr:colOff>390525</xdr:colOff>
      <xdr:row>15</xdr:row>
      <xdr:rowOff>66675</xdr:rowOff>
    </xdr:to>
    <xdr:graphicFrame macro="">
      <xdr:nvGraphicFramePr>
        <xdr:cNvPr id="5" name="Chart 4">
          <a:extLst>
            <a:ext uri="{FF2B5EF4-FFF2-40B4-BE49-F238E27FC236}">
              <a16:creationId xmlns:a16="http://schemas.microsoft.com/office/drawing/2014/main" id="{00000000-0008-0000-A5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4</xdr:col>
      <xdr:colOff>47625</xdr:colOff>
      <xdr:row>0</xdr:row>
      <xdr:rowOff>28575</xdr:rowOff>
    </xdr:from>
    <xdr:to>
      <xdr:col>11</xdr:col>
      <xdr:colOff>352425</xdr:colOff>
      <xdr:row>15</xdr:row>
      <xdr:rowOff>9525</xdr:rowOff>
    </xdr:to>
    <xdr:graphicFrame macro="">
      <xdr:nvGraphicFramePr>
        <xdr:cNvPr id="5" name="Chart 4">
          <a:extLst>
            <a:ext uri="{FF2B5EF4-FFF2-40B4-BE49-F238E27FC236}">
              <a16:creationId xmlns:a16="http://schemas.microsoft.com/office/drawing/2014/main" id="{00000000-0008-0000-A6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4" name="Chart 3">
          <a:extLst>
            <a:ext uri="{FF2B5EF4-FFF2-40B4-BE49-F238E27FC236}">
              <a16:creationId xmlns:a16="http://schemas.microsoft.com/office/drawing/2014/main" id="{00000000-0008-0000-A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73025</xdr:colOff>
      <xdr:row>0</xdr:row>
      <xdr:rowOff>66675</xdr:rowOff>
    </xdr:from>
    <xdr:to>
      <xdr:col>8</xdr:col>
      <xdr:colOff>377825</xdr:colOff>
      <xdr:row>15</xdr:row>
      <xdr:rowOff>47625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A802-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15085" y="66675"/>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twoCellAnchor>
    <xdr:from>
      <xdr:col>2</xdr:col>
      <xdr:colOff>53975</xdr:colOff>
      <xdr:row>0</xdr:row>
      <xdr:rowOff>53975</xdr:rowOff>
    </xdr:from>
    <xdr:to>
      <xdr:col>9</xdr:col>
      <xdr:colOff>358775</xdr:colOff>
      <xdr:row>15</xdr:row>
      <xdr:rowOff>34925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A902-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08455" y="53975"/>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3.xml><?xml version="1.0" encoding="utf-8"?>
<xdr:wsDr xmlns:xdr="http://schemas.openxmlformats.org/drawingml/2006/spreadsheetDrawing" xmlns:a="http://schemas.openxmlformats.org/drawingml/2006/main">
  <xdr:oneCellAnchor>
    <xdr:from>
      <xdr:col>6</xdr:col>
      <xdr:colOff>257175</xdr:colOff>
      <xdr:row>8</xdr:row>
      <xdr:rowOff>73025</xdr:rowOff>
    </xdr:from>
    <xdr:ext cx="65" cy="172227"/>
    <xdr:sp macro="" textlink="">
      <xdr:nvSpPr>
        <xdr:cNvPr id="2" name="TextBox 1">
          <a:extLst>
            <a:ext uri="{FF2B5EF4-FFF2-40B4-BE49-F238E27FC236}">
              <a16:creationId xmlns:a16="http://schemas.microsoft.com/office/drawing/2014/main" id="{00000000-0008-0000-B002-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64.xml><?xml version="1.0" encoding="utf-8"?>
<xdr:wsDr xmlns:xdr="http://schemas.openxmlformats.org/drawingml/2006/spreadsheetDrawing" xmlns:a="http://schemas.openxmlformats.org/drawingml/2006/main">
  <xdr:twoCellAnchor>
    <xdr:from>
      <xdr:col>2</xdr:col>
      <xdr:colOff>225776</xdr:colOff>
      <xdr:row>5</xdr:row>
      <xdr:rowOff>11288</xdr:rowOff>
    </xdr:from>
    <xdr:to>
      <xdr:col>10</xdr:col>
      <xdr:colOff>148165</xdr:colOff>
      <xdr:row>20</xdr:row>
      <xdr:rowOff>2821</xdr:rowOff>
    </xdr:to>
    <xdr:graphicFrame macro="">
      <xdr:nvGraphicFramePr>
        <xdr:cNvPr id="2" name="Chart 1">
          <a:extLst>
            <a:ext uri="{FF2B5EF4-FFF2-40B4-BE49-F238E27FC236}">
              <a16:creationId xmlns:a16="http://schemas.microsoft.com/office/drawing/2014/main" id="{00000000-0008-0000-B4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3</xdr:col>
      <xdr:colOff>7055</xdr:colOff>
      <xdr:row>4</xdr:row>
      <xdr:rowOff>180622</xdr:rowOff>
    </xdr:from>
    <xdr:to>
      <xdr:col>10</xdr:col>
      <xdr:colOff>331611</xdr:colOff>
      <xdr:row>19</xdr:row>
      <xdr:rowOff>172156</xdr:rowOff>
    </xdr:to>
    <xdr:graphicFrame macro="">
      <xdr:nvGraphicFramePr>
        <xdr:cNvPr id="2" name="Chart 1">
          <a:extLst>
            <a:ext uri="{FF2B5EF4-FFF2-40B4-BE49-F238E27FC236}">
              <a16:creationId xmlns:a16="http://schemas.microsoft.com/office/drawing/2014/main" id="{00000000-0008-0000-B5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4</xdr:col>
      <xdr:colOff>66675</xdr:colOff>
      <xdr:row>2</xdr:row>
      <xdr:rowOff>60325</xdr:rowOff>
    </xdr:from>
    <xdr:to>
      <xdr:col>11</xdr:col>
      <xdr:colOff>371475</xdr:colOff>
      <xdr:row>15</xdr:row>
      <xdr:rowOff>41275</xdr:rowOff>
    </xdr:to>
    <xdr:graphicFrame macro="">
      <xdr:nvGraphicFramePr>
        <xdr:cNvPr id="4" name="Chart 3">
          <a:extLst>
            <a:ext uri="{FF2B5EF4-FFF2-40B4-BE49-F238E27FC236}">
              <a16:creationId xmlns:a16="http://schemas.microsoft.com/office/drawing/2014/main" id="{00000000-0008-0000-B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4</xdr:col>
      <xdr:colOff>60325</xdr:colOff>
      <xdr:row>2</xdr:row>
      <xdr:rowOff>168275</xdr:rowOff>
    </xdr:from>
    <xdr:to>
      <xdr:col>11</xdr:col>
      <xdr:colOff>365125</xdr:colOff>
      <xdr:row>15</xdr:row>
      <xdr:rowOff>149225</xdr:rowOff>
    </xdr:to>
    <xdr:graphicFrame macro="">
      <xdr:nvGraphicFramePr>
        <xdr:cNvPr id="4" name="Chart 3">
          <a:extLst>
            <a:ext uri="{FF2B5EF4-FFF2-40B4-BE49-F238E27FC236}">
              <a16:creationId xmlns:a16="http://schemas.microsoft.com/office/drawing/2014/main" id="{00000000-0008-0000-B9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4</xdr:col>
      <xdr:colOff>60325</xdr:colOff>
      <xdr:row>1</xdr:row>
      <xdr:rowOff>53975</xdr:rowOff>
    </xdr:from>
    <xdr:to>
      <xdr:col>11</xdr:col>
      <xdr:colOff>365125</xdr:colOff>
      <xdr:row>16</xdr:row>
      <xdr:rowOff>34925</xdr:rowOff>
    </xdr:to>
    <xdr:graphicFrame macro="">
      <xdr:nvGraphicFramePr>
        <xdr:cNvPr id="4" name="Chart 3">
          <a:extLst>
            <a:ext uri="{FF2B5EF4-FFF2-40B4-BE49-F238E27FC236}">
              <a16:creationId xmlns:a16="http://schemas.microsoft.com/office/drawing/2014/main" id="{00000000-0008-0000-C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6" name="Chart 5">
          <a:extLst>
            <a:ext uri="{FF2B5EF4-FFF2-40B4-BE49-F238E27FC236}">
              <a16:creationId xmlns:a16="http://schemas.microsoft.com/office/drawing/2014/main" id="{00000000-0008-0000-C4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3</xdr:col>
      <xdr:colOff>130175</xdr:colOff>
      <xdr:row>0</xdr:row>
      <xdr:rowOff>60325</xdr:rowOff>
    </xdr:from>
    <xdr:to>
      <xdr:col>10</xdr:col>
      <xdr:colOff>434975</xdr:colOff>
      <xdr:row>15</xdr:row>
      <xdr:rowOff>41275</xdr:rowOff>
    </xdr:to>
    <xdr:graphicFrame macro="">
      <xdr:nvGraphicFramePr>
        <xdr:cNvPr id="7" name="Chart 6">
          <a:extLst>
            <a:ext uri="{FF2B5EF4-FFF2-40B4-BE49-F238E27FC236}">
              <a16:creationId xmlns:a16="http://schemas.microsoft.com/office/drawing/2014/main" id="{00000000-0008-0000-C5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4</xdr:col>
      <xdr:colOff>130175</xdr:colOff>
      <xdr:row>0</xdr:row>
      <xdr:rowOff>149225</xdr:rowOff>
    </xdr:from>
    <xdr:to>
      <xdr:col>11</xdr:col>
      <xdr:colOff>434975</xdr:colOff>
      <xdr:row>15</xdr:row>
      <xdr:rowOff>130175</xdr:rowOff>
    </xdr:to>
    <xdr:graphicFrame macro="">
      <xdr:nvGraphicFramePr>
        <xdr:cNvPr id="4" name="Chart 3">
          <a:extLst>
            <a:ext uri="{FF2B5EF4-FFF2-40B4-BE49-F238E27FC236}">
              <a16:creationId xmlns:a16="http://schemas.microsoft.com/office/drawing/2014/main" id="{00000000-0008-0000-C6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4</xdr:col>
      <xdr:colOff>104775</xdr:colOff>
      <xdr:row>0</xdr:row>
      <xdr:rowOff>34925</xdr:rowOff>
    </xdr:from>
    <xdr:to>
      <xdr:col>11</xdr:col>
      <xdr:colOff>409575</xdr:colOff>
      <xdr:row>15</xdr:row>
      <xdr:rowOff>15875</xdr:rowOff>
    </xdr:to>
    <xdr:graphicFrame macro="">
      <xdr:nvGraphicFramePr>
        <xdr:cNvPr id="2" name="Chart 1">
          <a:extLst>
            <a:ext uri="{FF2B5EF4-FFF2-40B4-BE49-F238E27FC236}">
              <a16:creationId xmlns:a16="http://schemas.microsoft.com/office/drawing/2014/main" id="{00000000-0008-0000-C7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104775</xdr:colOff>
      <xdr:row>0</xdr:row>
      <xdr:rowOff>28575</xdr:rowOff>
    </xdr:from>
    <xdr:to>
      <xdr:col>12</xdr:col>
      <xdr:colOff>409575</xdr:colOff>
      <xdr:row>15</xdr:row>
      <xdr:rowOff>9525</xdr:rowOff>
    </xdr:to>
    <xdr:graphicFrame macro="">
      <xdr:nvGraphicFramePr>
        <xdr:cNvPr id="3" name="Chart 2">
          <a:extLst>
            <a:ext uri="{FF2B5EF4-FFF2-40B4-BE49-F238E27FC236}">
              <a16:creationId xmlns:a16="http://schemas.microsoft.com/office/drawing/2014/main" id="{00000000-0008-0000-C8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5</xdr:col>
      <xdr:colOff>174625</xdr:colOff>
      <xdr:row>0</xdr:row>
      <xdr:rowOff>73025</xdr:rowOff>
    </xdr:from>
    <xdr:to>
      <xdr:col>12</xdr:col>
      <xdr:colOff>479425</xdr:colOff>
      <xdr:row>15</xdr:row>
      <xdr:rowOff>53975</xdr:rowOff>
    </xdr:to>
    <xdr:graphicFrame macro="">
      <xdr:nvGraphicFramePr>
        <xdr:cNvPr id="16" name="Chart 15">
          <a:extLst>
            <a:ext uri="{FF2B5EF4-FFF2-40B4-BE49-F238E27FC236}">
              <a16:creationId xmlns:a16="http://schemas.microsoft.com/office/drawing/2014/main" id="{00000000-0008-0000-C902-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5</xdr:col>
      <xdr:colOff>187325</xdr:colOff>
      <xdr:row>0</xdr:row>
      <xdr:rowOff>123825</xdr:rowOff>
    </xdr:from>
    <xdr:to>
      <xdr:col>12</xdr:col>
      <xdr:colOff>492125</xdr:colOff>
      <xdr:row>15</xdr:row>
      <xdr:rowOff>104775</xdr:rowOff>
    </xdr:to>
    <xdr:graphicFrame macro="">
      <xdr:nvGraphicFramePr>
        <xdr:cNvPr id="2" name="Chart 1">
          <a:extLst>
            <a:ext uri="{FF2B5EF4-FFF2-40B4-BE49-F238E27FC236}">
              <a16:creationId xmlns:a16="http://schemas.microsoft.com/office/drawing/2014/main" id="{00000000-0008-0000-C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5</xdr:col>
      <xdr:colOff>117475</xdr:colOff>
      <xdr:row>0</xdr:row>
      <xdr:rowOff>85725</xdr:rowOff>
    </xdr:from>
    <xdr:to>
      <xdr:col>12</xdr:col>
      <xdr:colOff>422275</xdr:colOff>
      <xdr:row>15</xdr:row>
      <xdr:rowOff>66675</xdr:rowOff>
    </xdr:to>
    <xdr:graphicFrame macro="">
      <xdr:nvGraphicFramePr>
        <xdr:cNvPr id="3" name="Chart 2">
          <a:extLst>
            <a:ext uri="{FF2B5EF4-FFF2-40B4-BE49-F238E27FC236}">
              <a16:creationId xmlns:a16="http://schemas.microsoft.com/office/drawing/2014/main" id="{00000000-0008-0000-CB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4</xdr:col>
      <xdr:colOff>130175</xdr:colOff>
      <xdr:row>0</xdr:row>
      <xdr:rowOff>92075</xdr:rowOff>
    </xdr:from>
    <xdr:to>
      <xdr:col>11</xdr:col>
      <xdr:colOff>434975</xdr:colOff>
      <xdr:row>15</xdr:row>
      <xdr:rowOff>73025</xdr:rowOff>
    </xdr:to>
    <xdr:graphicFrame macro="">
      <xdr:nvGraphicFramePr>
        <xdr:cNvPr id="6" name="Chart 5">
          <a:extLst>
            <a:ext uri="{FF2B5EF4-FFF2-40B4-BE49-F238E27FC236}">
              <a16:creationId xmlns:a16="http://schemas.microsoft.com/office/drawing/2014/main" id="{00000000-0008-0000-CC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3</xdr:col>
      <xdr:colOff>98425</xdr:colOff>
      <xdr:row>0</xdr:row>
      <xdr:rowOff>66675</xdr:rowOff>
    </xdr:from>
    <xdr:to>
      <xdr:col>10</xdr:col>
      <xdr:colOff>403225</xdr:colOff>
      <xdr:row>15</xdr:row>
      <xdr:rowOff>47625</xdr:rowOff>
    </xdr:to>
    <xdr:graphicFrame macro="">
      <xdr:nvGraphicFramePr>
        <xdr:cNvPr id="3" name="Chart 2">
          <a:extLst>
            <a:ext uri="{FF2B5EF4-FFF2-40B4-BE49-F238E27FC236}">
              <a16:creationId xmlns:a16="http://schemas.microsoft.com/office/drawing/2014/main" id="{00000000-0008-0000-CD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3</xdr:col>
      <xdr:colOff>117475</xdr:colOff>
      <xdr:row>0</xdr:row>
      <xdr:rowOff>53975</xdr:rowOff>
    </xdr:from>
    <xdr:to>
      <xdr:col>10</xdr:col>
      <xdr:colOff>422275</xdr:colOff>
      <xdr:row>15</xdr:row>
      <xdr:rowOff>34925</xdr:rowOff>
    </xdr:to>
    <xdr:graphicFrame macro="">
      <xdr:nvGraphicFramePr>
        <xdr:cNvPr id="3" name="Chart 2">
          <a:extLst>
            <a:ext uri="{FF2B5EF4-FFF2-40B4-BE49-F238E27FC236}">
              <a16:creationId xmlns:a16="http://schemas.microsoft.com/office/drawing/2014/main" id="{00000000-0008-0000-CE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117475</xdr:colOff>
      <xdr:row>0</xdr:row>
      <xdr:rowOff>161925</xdr:rowOff>
    </xdr:from>
    <xdr:to>
      <xdr:col>14</xdr:col>
      <xdr:colOff>422275</xdr:colOff>
      <xdr:row>15</xdr:row>
      <xdr:rowOff>142875</xdr:rowOff>
    </xdr:to>
    <xdr:graphicFrame macro="">
      <xdr:nvGraphicFramePr>
        <xdr:cNvPr id="5" name="Chart 4">
          <a:extLst>
            <a:ext uri="{FF2B5EF4-FFF2-40B4-BE49-F238E27FC236}">
              <a16:creationId xmlns:a16="http://schemas.microsoft.com/office/drawing/2014/main" id="{00000000-0008-0000-CF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6</xdr:col>
      <xdr:colOff>212725</xdr:colOff>
      <xdr:row>1</xdr:row>
      <xdr:rowOff>9525</xdr:rowOff>
    </xdr:from>
    <xdr:to>
      <xdr:col>13</xdr:col>
      <xdr:colOff>517525</xdr:colOff>
      <xdr:row>15</xdr:row>
      <xdr:rowOff>174625</xdr:rowOff>
    </xdr:to>
    <xdr:graphicFrame macro="">
      <xdr:nvGraphicFramePr>
        <xdr:cNvPr id="3" name="Chart 2">
          <a:extLst>
            <a:ext uri="{FF2B5EF4-FFF2-40B4-BE49-F238E27FC236}">
              <a16:creationId xmlns:a16="http://schemas.microsoft.com/office/drawing/2014/main" id="{00000000-0008-0000-D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3" name="Straight Connector 2">
          <a:extLst>
            <a:ext uri="{FF2B5EF4-FFF2-40B4-BE49-F238E27FC236}">
              <a16:creationId xmlns:a16="http://schemas.microsoft.com/office/drawing/2014/main" id="{00000000-0008-0000-D602-000003000000}"/>
            </a:ext>
          </a:extLst>
        </xdr:cNvPr>
        <xdr:cNvCxnSpPr/>
      </xdr:nvCxnSpPr>
      <xdr:spPr>
        <a:xfrm flipV="1">
          <a:off x="83820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12700</xdr:rowOff>
    </xdr:from>
    <xdr:to>
      <xdr:col>9</xdr:col>
      <xdr:colOff>0</xdr:colOff>
      <xdr:row>10</xdr:row>
      <xdr:rowOff>25400</xdr:rowOff>
    </xdr:to>
    <xdr:graphicFrame macro="">
      <xdr:nvGraphicFramePr>
        <xdr:cNvPr id="25" name="Chart 24">
          <a:extLst>
            <a:ext uri="{FF2B5EF4-FFF2-40B4-BE49-F238E27FC236}">
              <a16:creationId xmlns:a16="http://schemas.microsoft.com/office/drawing/2014/main" id="{00000000-0008-0000-D602-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13" name="Straight Connector 12">
          <a:extLst>
            <a:ext uri="{FF2B5EF4-FFF2-40B4-BE49-F238E27FC236}">
              <a16:creationId xmlns:a16="http://schemas.microsoft.com/office/drawing/2014/main" id="{00000000-0008-0000-D702-00000D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5</xdr:row>
      <xdr:rowOff>9525</xdr:rowOff>
    </xdr:from>
    <xdr:to>
      <xdr:col>11</xdr:col>
      <xdr:colOff>12700</xdr:colOff>
      <xdr:row>9</xdr:row>
      <xdr:rowOff>0</xdr:rowOff>
    </xdr:to>
    <xdr:graphicFrame macro="">
      <xdr:nvGraphicFramePr>
        <xdr:cNvPr id="14" name="Chart 13">
          <a:extLst>
            <a:ext uri="{FF2B5EF4-FFF2-40B4-BE49-F238E27FC236}">
              <a16:creationId xmlns:a16="http://schemas.microsoft.com/office/drawing/2014/main" id="{00000000-0008-0000-D702-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8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12699</xdr:rowOff>
    </xdr:from>
    <xdr:to>
      <xdr:col>9</xdr:col>
      <xdr:colOff>6350</xdr:colOff>
      <xdr:row>9</xdr:row>
      <xdr:rowOff>0</xdr:rowOff>
    </xdr:to>
    <xdr:graphicFrame macro="">
      <xdr:nvGraphicFramePr>
        <xdr:cNvPr id="4" name="Chart 3">
          <a:extLst>
            <a:ext uri="{FF2B5EF4-FFF2-40B4-BE49-F238E27FC236}">
              <a16:creationId xmlns:a16="http://schemas.microsoft.com/office/drawing/2014/main" id="{00000000-0008-0000-D8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9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10</xdr:col>
      <xdr:colOff>6350</xdr:colOff>
      <xdr:row>9</xdr:row>
      <xdr:rowOff>38100</xdr:rowOff>
    </xdr:to>
    <xdr:graphicFrame macro="">
      <xdr:nvGraphicFramePr>
        <xdr:cNvPr id="5" name="Chart 4">
          <a:extLst>
            <a:ext uri="{FF2B5EF4-FFF2-40B4-BE49-F238E27FC236}">
              <a16:creationId xmlns:a16="http://schemas.microsoft.com/office/drawing/2014/main" id="{00000000-0008-0000-D9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A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11</xdr:col>
      <xdr:colOff>0</xdr:colOff>
      <xdr:row>10</xdr:row>
      <xdr:rowOff>19050</xdr:rowOff>
    </xdr:to>
    <xdr:graphicFrame macro="">
      <xdr:nvGraphicFramePr>
        <xdr:cNvPr id="4" name="Chart 3">
          <a:extLst>
            <a:ext uri="{FF2B5EF4-FFF2-40B4-BE49-F238E27FC236}">
              <a16:creationId xmlns:a16="http://schemas.microsoft.com/office/drawing/2014/main" id="{00000000-0008-0000-DA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B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22225</xdr:colOff>
      <xdr:row>5</xdr:row>
      <xdr:rowOff>15875</xdr:rowOff>
    </xdr:from>
    <xdr:to>
      <xdr:col>10</xdr:col>
      <xdr:colOff>6350</xdr:colOff>
      <xdr:row>8</xdr:row>
      <xdr:rowOff>361950</xdr:rowOff>
    </xdr:to>
    <xdr:graphicFrame macro="">
      <xdr:nvGraphicFramePr>
        <xdr:cNvPr id="4" name="Chart 3">
          <a:extLst>
            <a:ext uri="{FF2B5EF4-FFF2-40B4-BE49-F238E27FC236}">
              <a16:creationId xmlns:a16="http://schemas.microsoft.com/office/drawing/2014/main" id="{00000000-0008-0000-DB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4</xdr:col>
      <xdr:colOff>28575</xdr:colOff>
      <xdr:row>0</xdr:row>
      <xdr:rowOff>60325</xdr:rowOff>
    </xdr:from>
    <xdr:to>
      <xdr:col>11</xdr:col>
      <xdr:colOff>333375</xdr:colOff>
      <xdr:row>15</xdr:row>
      <xdr:rowOff>41275</xdr:rowOff>
    </xdr:to>
    <xdr:graphicFrame macro="">
      <xdr:nvGraphicFramePr>
        <xdr:cNvPr id="4" name="Chart 3">
          <a:extLst>
            <a:ext uri="{FF2B5EF4-FFF2-40B4-BE49-F238E27FC236}">
              <a16:creationId xmlns:a16="http://schemas.microsoft.com/office/drawing/2014/main" id="{00000000-0008-0000-DC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4</xdr:col>
      <xdr:colOff>47625</xdr:colOff>
      <xdr:row>0</xdr:row>
      <xdr:rowOff>73025</xdr:rowOff>
    </xdr:from>
    <xdr:to>
      <xdr:col>11</xdr:col>
      <xdr:colOff>352425</xdr:colOff>
      <xdr:row>15</xdr:row>
      <xdr:rowOff>53975</xdr:rowOff>
    </xdr:to>
    <xdr:graphicFrame macro="">
      <xdr:nvGraphicFramePr>
        <xdr:cNvPr id="7" name="Chart 6">
          <a:extLst>
            <a:ext uri="{FF2B5EF4-FFF2-40B4-BE49-F238E27FC236}">
              <a16:creationId xmlns:a16="http://schemas.microsoft.com/office/drawing/2014/main" id="{00000000-0008-0000-DD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4</xdr:col>
      <xdr:colOff>85725</xdr:colOff>
      <xdr:row>0</xdr:row>
      <xdr:rowOff>92075</xdr:rowOff>
    </xdr:from>
    <xdr:to>
      <xdr:col>11</xdr:col>
      <xdr:colOff>390525</xdr:colOff>
      <xdr:row>15</xdr:row>
      <xdr:rowOff>73025</xdr:rowOff>
    </xdr:to>
    <xdr:graphicFrame macro="">
      <xdr:nvGraphicFramePr>
        <xdr:cNvPr id="4" name="Chart 3">
          <a:extLst>
            <a:ext uri="{FF2B5EF4-FFF2-40B4-BE49-F238E27FC236}">
              <a16:creationId xmlns:a16="http://schemas.microsoft.com/office/drawing/2014/main" id="{00000000-0008-0000-DE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4</xdr:col>
      <xdr:colOff>79375</xdr:colOff>
      <xdr:row>0</xdr:row>
      <xdr:rowOff>79375</xdr:rowOff>
    </xdr:from>
    <xdr:to>
      <xdr:col>11</xdr:col>
      <xdr:colOff>384175</xdr:colOff>
      <xdr:row>15</xdr:row>
      <xdr:rowOff>60325</xdr:rowOff>
    </xdr:to>
    <xdr:graphicFrame macro="">
      <xdr:nvGraphicFramePr>
        <xdr:cNvPr id="3" name="Chart 2">
          <a:extLst>
            <a:ext uri="{FF2B5EF4-FFF2-40B4-BE49-F238E27FC236}">
              <a16:creationId xmlns:a16="http://schemas.microsoft.com/office/drawing/2014/main" id="{00000000-0008-0000-DF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4</xdr:col>
      <xdr:colOff>117475</xdr:colOff>
      <xdr:row>0</xdr:row>
      <xdr:rowOff>73025</xdr:rowOff>
    </xdr:from>
    <xdr:to>
      <xdr:col>11</xdr:col>
      <xdr:colOff>422275</xdr:colOff>
      <xdr:row>15</xdr:row>
      <xdr:rowOff>53975</xdr:rowOff>
    </xdr:to>
    <xdr:graphicFrame macro="">
      <xdr:nvGraphicFramePr>
        <xdr:cNvPr id="5" name="Chart 4">
          <a:extLst>
            <a:ext uri="{FF2B5EF4-FFF2-40B4-BE49-F238E27FC236}">
              <a16:creationId xmlns:a16="http://schemas.microsoft.com/office/drawing/2014/main" id="{00000000-0008-0000-E0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531526157407" createdVersion="6" refreshedVersion="6" minRefreshableVersion="3" recordCount="9" xr:uid="{A3B44670-2D7F-43A1-BEF5-A4D4DE6C6F48}">
  <cacheSource type="worksheet">
    <worksheetSource ref="A1:C10" sheet="Pivot Chart_Example"/>
  </cacheSource>
  <cacheFields count="3">
    <cacheField name="Sales_Representative" numFmtId="0">
      <sharedItems count="9">
        <s v="Charlotte Watts"/>
        <s v="Lloyd West"/>
        <s v="Peter Brady"/>
        <s v="Jorge Brooks"/>
        <s v="Bonnie Sanders"/>
        <s v="Katrina Mendez"/>
        <s v="Tanya Webster"/>
        <s v="Eddie Vaughn"/>
        <s v="Angel Morton"/>
      </sharedItems>
    </cacheField>
    <cacheField name="Product" numFmtId="0">
      <sharedItems count="3">
        <s v="XT_912"/>
        <s v="DL_540"/>
        <s v="FK_831"/>
      </sharedItems>
    </cacheField>
    <cacheField name="Sales in $" numFmtId="0">
      <sharedItems containsSemiMixedTypes="0" containsString="0" containsNumber="1" containsInteger="1" minValue="1090" maxValue="3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617784837959" createdVersion="6" refreshedVersion="6" minRefreshableVersion="3" recordCount="20" xr:uid="{41B492A6-E7E7-4ED8-8F3A-F75FD636C8BE}">
  <cacheSource type="worksheet">
    <worksheetSource ref="A1:C21" sheet="Pivot Chart_Create"/>
  </cacheSource>
  <cacheFields count="3">
    <cacheField name="State" numFmtId="0">
      <sharedItems count="5">
        <s v="California"/>
        <s v="Texas"/>
        <s v="Florida"/>
        <s v="Virginia"/>
        <s v="Georgia"/>
      </sharedItems>
    </cacheField>
    <cacheField name="Fruit" numFmtId="0">
      <sharedItems count="4">
        <s v="Apple"/>
        <s v="Banana"/>
        <s v="Peach"/>
        <s v="Pear"/>
      </sharedItems>
    </cacheField>
    <cacheField name="Number of Units" numFmtId="0">
      <sharedItems containsSemiMixedTypes="0" containsString="0" containsNumber="1" containsInteger="1" minValue="15000" maxValue="368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01149074077" createdVersion="6" refreshedVersion="6" minRefreshableVersion="3" recordCount="12" xr:uid="{B98F8C84-E9E7-4DE3-916B-8C0512049E91}">
  <cacheSource type="worksheet">
    <worksheetSource ref="A1:E13" sheet="Pivot Chart_Example 1"/>
  </cacheSource>
  <cacheFields count="5">
    <cacheField name="Item" numFmtId="0">
      <sharedItems count="6">
        <s v="T-shirt"/>
        <s v="Cotton Shirt"/>
        <s v="Summer Pants"/>
        <s v="Jeans"/>
        <s v="Linen Shirt"/>
        <s v="Silk Shirt"/>
      </sharedItems>
    </cacheField>
    <cacheField name="Price Band" numFmtId="0">
      <sharedItems count="2">
        <s v="Low"/>
        <s v="High"/>
      </sharedItems>
    </cacheField>
    <cacheField name="Price Per Unit in $" numFmtId="0">
      <sharedItems containsSemiMixedTypes="0" containsString="0" containsNumber="1" containsInteger="1" minValue="10" maxValue="45" count="10">
        <n v="10"/>
        <n v="20"/>
        <n v="15"/>
        <n v="37"/>
        <n v="28"/>
        <n v="32"/>
        <n v="34"/>
        <n v="30"/>
        <n v="45"/>
        <n v="35"/>
      </sharedItems>
    </cacheField>
    <cacheField name="Quantity" numFmtId="0">
      <sharedItems containsSemiMixedTypes="0" containsString="0" containsNumber="1" containsInteger="1" minValue="90" maxValue="300"/>
    </cacheField>
    <cacheField name="Total Amount in $" numFmtId="0">
      <sharedItems containsSemiMixedTypes="0" containsString="0" containsNumber="1" containsInteger="1" minValue="1500" maxValue="8500" count="12">
        <n v="1500"/>
        <n v="4200"/>
        <n v="4500"/>
        <n v="4000"/>
        <n v="4440"/>
        <n v="3360"/>
        <n v="2000"/>
        <n v="6400"/>
        <n v="8500"/>
        <n v="6300"/>
        <n v="6750"/>
        <n v="3150"/>
      </sharedItems>
    </cacheField>
  </cacheFields>
  <extLst>
    <ext xmlns:x14="http://schemas.microsoft.com/office/spreadsheetml/2009/9/main" uri="{725AE2AE-9491-48be-B2B4-4EB974FC3084}">
      <x14:pivotCacheDefinition pivotCacheId="703519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46932291666" createdVersion="6" refreshedVersion="6" minRefreshableVersion="3" recordCount="10" xr:uid="{A13B85BB-F261-40AD-84C9-63443BB9891B}">
  <cacheSource type="worksheet">
    <worksheetSource ref="A1:E11" sheet="Pivot Chart_Example 2"/>
  </cacheSource>
  <cacheFields count="5">
    <cacheField name="Employee" numFmtId="0">
      <sharedItems count="10">
        <s v="Bert Green"/>
        <s v="Hugo Glover"/>
        <s v="Kyle Austin"/>
        <s v="Marvin Figueroa"/>
        <s v="Crystal Lane"/>
        <s v="Nina Buchanan"/>
        <s v="Edmund Graves"/>
        <s v="Marty Chapman"/>
        <s v="Darryl Simon"/>
        <s v="Vanessa Byrd"/>
      </sharedItems>
    </cacheField>
    <cacheField name="Designation" numFmtId="0">
      <sharedItems count="3">
        <s v="Engineer"/>
        <s v="Senior Engineer"/>
        <s v="Specialist"/>
      </sharedItems>
    </cacheField>
    <cacheField name="Appraisal Rating" numFmtId="0">
      <sharedItems containsSemiMixedTypes="0" containsString="0" containsNumber="1" containsInteger="1" minValue="1" maxValue="5" count="5">
        <n v="3"/>
        <n v="5"/>
        <n v="4"/>
        <n v="2"/>
        <n v="1"/>
      </sharedItems>
    </cacheField>
    <cacheField name="Hike%" numFmtId="0">
      <sharedItems containsSemiMixedTypes="0" containsString="0" containsNumber="1" containsInteger="1" minValue="6" maxValue="20"/>
    </cacheField>
    <cacheField name="Bonus%" numFmtId="0">
      <sharedItems containsSemiMixedTypes="0" containsString="0" containsNumber="1" containsInteger="1" minValue="0" maxValue="5" count="2">
        <n v="0"/>
        <n v="5"/>
      </sharedItems>
    </cacheField>
  </cacheFields>
  <extLst>
    <ext xmlns:x14="http://schemas.microsoft.com/office/spreadsheetml/2009/9/main" uri="{725AE2AE-9491-48be-B2B4-4EB974FC3084}">
      <x14:pivotCacheDefinition pivotCacheId="6555697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9.507729398145" createdVersion="6" refreshedVersion="6" minRefreshableVersion="3" recordCount="16" xr:uid="{1B200B59-8F7D-455F-BE20-A6110A3E0DF3}">
  <cacheSource type="worksheet">
    <worksheetSource ref="A1:C17" sheet="Pivot Chart_FAQ"/>
  </cacheSource>
  <cacheFields count="3">
    <cacheField name="Student" numFmtId="0">
      <sharedItems count="4">
        <s v="Allen"/>
        <s v="Kelly"/>
        <s v="Mindy"/>
        <s v="Simon"/>
      </sharedItems>
    </cacheField>
    <cacheField name="Subject" numFmtId="0">
      <sharedItems count="4">
        <s v="Mathematics"/>
        <s v="Physics"/>
        <s v="Chemistry"/>
        <s v="Biology"/>
      </sharedItems>
    </cacheField>
    <cacheField name="Score" numFmtId="0">
      <sharedItems containsSemiMixedTypes="0" containsString="0" containsNumber="1" containsInteger="1" minValue="70"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sus" refreshedDate="45589.62996111111" createdVersion="6" refreshedVersion="8" minRefreshableVersion="3" recordCount="15" xr:uid="{21033DCD-E71B-4C40-8638-E57B0DF917DE}">
  <cacheSource type="worksheet">
    <worksheetSource ref="A1:C16" sheet="Pivot Chart_Edit"/>
  </cacheSource>
  <cacheFields count="3">
    <cacheField name="Branch Office" numFmtId="0">
      <sharedItems count="5">
        <s v="BO 1"/>
        <s v="BO 2"/>
        <s v="BO 3"/>
        <s v="BO 4"/>
        <s v="BO 5"/>
      </sharedItems>
    </cacheField>
    <cacheField name="Month" numFmtId="0">
      <sharedItems count="3">
        <s v="Jan"/>
        <s v="Feb"/>
        <s v="Mar"/>
      </sharedItems>
    </cacheField>
    <cacheField name="Revenue in $" numFmtId="0">
      <sharedItems containsSemiMixedTypes="0" containsString="0" containsNumber="1" containsInteger="1" minValue="100000" maxValue="3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3000"/>
  </r>
  <r>
    <x v="1"/>
    <x v="1"/>
    <n v="2500"/>
  </r>
  <r>
    <x v="2"/>
    <x v="2"/>
    <n v="2900"/>
  </r>
  <r>
    <x v="3"/>
    <x v="0"/>
    <n v="1500"/>
  </r>
  <r>
    <x v="4"/>
    <x v="2"/>
    <n v="2000"/>
  </r>
  <r>
    <x v="5"/>
    <x v="0"/>
    <n v="2200"/>
  </r>
  <r>
    <x v="6"/>
    <x v="2"/>
    <n v="1800"/>
  </r>
  <r>
    <x v="7"/>
    <x v="1"/>
    <n v="2300"/>
  </r>
  <r>
    <x v="8"/>
    <x v="1"/>
    <n v="10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30000"/>
  </r>
  <r>
    <x v="1"/>
    <x v="0"/>
    <n v="25400"/>
  </r>
  <r>
    <x v="2"/>
    <x v="0"/>
    <n v="31000"/>
  </r>
  <r>
    <x v="3"/>
    <x v="0"/>
    <n v="15000"/>
  </r>
  <r>
    <x v="4"/>
    <x v="0"/>
    <n v="23420"/>
  </r>
  <r>
    <x v="0"/>
    <x v="1"/>
    <n v="35000"/>
  </r>
  <r>
    <x v="1"/>
    <x v="1"/>
    <n v="30430"/>
  </r>
  <r>
    <x v="2"/>
    <x v="1"/>
    <n v="31290"/>
  </r>
  <r>
    <x v="3"/>
    <x v="1"/>
    <n v="29180"/>
  </r>
  <r>
    <x v="4"/>
    <x v="1"/>
    <n v="32550"/>
  </r>
  <r>
    <x v="0"/>
    <x v="2"/>
    <n v="30320"/>
  </r>
  <r>
    <x v="1"/>
    <x v="2"/>
    <n v="25820"/>
  </r>
  <r>
    <x v="2"/>
    <x v="2"/>
    <n v="31900"/>
  </r>
  <r>
    <x v="3"/>
    <x v="2"/>
    <n v="16000"/>
  </r>
  <r>
    <x v="4"/>
    <x v="2"/>
    <n v="24820"/>
  </r>
  <r>
    <x v="0"/>
    <x v="3"/>
    <n v="36820"/>
  </r>
  <r>
    <x v="1"/>
    <x v="3"/>
    <n v="30820"/>
  </r>
  <r>
    <x v="2"/>
    <x v="3"/>
    <n v="35000"/>
  </r>
  <r>
    <x v="3"/>
    <x v="3"/>
    <n v="23800"/>
  </r>
  <r>
    <x v="4"/>
    <x v="3"/>
    <n v="332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50"/>
    <x v="0"/>
  </r>
  <r>
    <x v="1"/>
    <x v="0"/>
    <x v="1"/>
    <n v="210"/>
    <x v="1"/>
  </r>
  <r>
    <x v="2"/>
    <x v="0"/>
    <x v="2"/>
    <n v="300"/>
    <x v="2"/>
  </r>
  <r>
    <x v="3"/>
    <x v="0"/>
    <x v="1"/>
    <n v="200"/>
    <x v="3"/>
  </r>
  <r>
    <x v="4"/>
    <x v="0"/>
    <x v="3"/>
    <n v="120"/>
    <x v="4"/>
  </r>
  <r>
    <x v="5"/>
    <x v="0"/>
    <x v="4"/>
    <n v="120"/>
    <x v="5"/>
  </r>
  <r>
    <x v="0"/>
    <x v="1"/>
    <x v="1"/>
    <n v="100"/>
    <x v="6"/>
  </r>
  <r>
    <x v="1"/>
    <x v="1"/>
    <x v="5"/>
    <n v="200"/>
    <x v="7"/>
  </r>
  <r>
    <x v="2"/>
    <x v="1"/>
    <x v="6"/>
    <n v="250"/>
    <x v="8"/>
  </r>
  <r>
    <x v="3"/>
    <x v="1"/>
    <x v="7"/>
    <n v="210"/>
    <x v="9"/>
  </r>
  <r>
    <x v="4"/>
    <x v="1"/>
    <x v="8"/>
    <n v="150"/>
    <x v="10"/>
  </r>
  <r>
    <x v="5"/>
    <x v="1"/>
    <x v="9"/>
    <n v="90"/>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0"/>
    <x v="0"/>
  </r>
  <r>
    <x v="1"/>
    <x v="1"/>
    <x v="1"/>
    <n v="20"/>
    <x v="1"/>
  </r>
  <r>
    <x v="2"/>
    <x v="0"/>
    <x v="1"/>
    <n v="20"/>
    <x v="1"/>
  </r>
  <r>
    <x v="3"/>
    <x v="2"/>
    <x v="2"/>
    <n v="15"/>
    <x v="0"/>
  </r>
  <r>
    <x v="4"/>
    <x v="2"/>
    <x v="3"/>
    <n v="8"/>
    <x v="0"/>
  </r>
  <r>
    <x v="5"/>
    <x v="1"/>
    <x v="2"/>
    <n v="15"/>
    <x v="0"/>
  </r>
  <r>
    <x v="6"/>
    <x v="0"/>
    <x v="0"/>
    <n v="10"/>
    <x v="0"/>
  </r>
  <r>
    <x v="7"/>
    <x v="0"/>
    <x v="4"/>
    <n v="6"/>
    <x v="0"/>
  </r>
  <r>
    <x v="8"/>
    <x v="0"/>
    <x v="2"/>
    <n v="15"/>
    <x v="0"/>
  </r>
  <r>
    <x v="9"/>
    <x v="1"/>
    <x v="1"/>
    <n v="2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95"/>
  </r>
  <r>
    <x v="1"/>
    <x v="0"/>
    <n v="89"/>
  </r>
  <r>
    <x v="2"/>
    <x v="0"/>
    <n v="100"/>
  </r>
  <r>
    <x v="3"/>
    <x v="0"/>
    <n v="75"/>
  </r>
  <r>
    <x v="0"/>
    <x v="1"/>
    <n v="99"/>
  </r>
  <r>
    <x v="1"/>
    <x v="1"/>
    <n v="85"/>
  </r>
  <r>
    <x v="2"/>
    <x v="1"/>
    <n v="99"/>
  </r>
  <r>
    <x v="3"/>
    <x v="1"/>
    <n v="78"/>
  </r>
  <r>
    <x v="0"/>
    <x v="2"/>
    <n v="100"/>
  </r>
  <r>
    <x v="1"/>
    <x v="2"/>
    <n v="88"/>
  </r>
  <r>
    <x v="2"/>
    <x v="2"/>
    <n v="100"/>
  </r>
  <r>
    <x v="3"/>
    <x v="2"/>
    <n v="77"/>
  </r>
  <r>
    <x v="0"/>
    <x v="3"/>
    <n v="100"/>
  </r>
  <r>
    <x v="1"/>
    <x v="3"/>
    <n v="87"/>
  </r>
  <r>
    <x v="2"/>
    <x v="3"/>
    <n v="99"/>
  </r>
  <r>
    <x v="3"/>
    <x v="3"/>
    <n v="7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100000"/>
  </r>
  <r>
    <x v="1"/>
    <x v="0"/>
    <n v="150000"/>
  </r>
  <r>
    <x v="2"/>
    <x v="0"/>
    <n v="200000"/>
  </r>
  <r>
    <x v="3"/>
    <x v="0"/>
    <n v="230000"/>
  </r>
  <r>
    <x v="4"/>
    <x v="0"/>
    <n v="110000"/>
  </r>
  <r>
    <x v="0"/>
    <x v="1"/>
    <n v="290000"/>
  </r>
  <r>
    <x v="1"/>
    <x v="1"/>
    <n v="350000"/>
  </r>
  <r>
    <x v="2"/>
    <x v="1"/>
    <n v="300000"/>
  </r>
  <r>
    <x v="3"/>
    <x v="1"/>
    <n v="280000"/>
  </r>
  <r>
    <x v="4"/>
    <x v="1"/>
    <n v="250000"/>
  </r>
  <r>
    <x v="0"/>
    <x v="2"/>
    <n v="190000"/>
  </r>
  <r>
    <x v="1"/>
    <x v="2"/>
    <n v="240000"/>
  </r>
  <r>
    <x v="2"/>
    <x v="2"/>
    <n v="300000"/>
  </r>
  <r>
    <x v="3"/>
    <x v="2"/>
    <n v="390000"/>
  </r>
  <r>
    <x v="4"/>
    <x v="2"/>
    <n v="3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6202C-2648-407A-B9DD-A30EA8EC3B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I12" firstHeaderRow="1" firstDataRow="2" firstDataCol="1"/>
  <pivotFields count="3">
    <pivotField axis="axisRow" showAll="0">
      <items count="10">
        <item x="8"/>
        <item x="4"/>
        <item x="0"/>
        <item x="7"/>
        <item x="3"/>
        <item x="5"/>
        <item x="1"/>
        <item x="2"/>
        <item x="6"/>
        <item t="default"/>
      </items>
    </pivotField>
    <pivotField axis="axisCol" showAll="0">
      <items count="4">
        <item x="1"/>
        <item x="2"/>
        <item x="0"/>
        <item t="default"/>
      </items>
    </pivotField>
    <pivotField dataField="1" showAl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Sales in $"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E1DCE-A2DE-4D02-B2CB-1395D455C6F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0" firstHeaderRow="1" firstDataRow="2" firstDataCol="1"/>
  <pivotFields count="3">
    <pivotField axis="axisRow" showAll="0">
      <items count="6">
        <item x="0"/>
        <item x="2"/>
        <item x="4"/>
        <item x="1"/>
        <item x="3"/>
        <item t="default"/>
      </items>
    </pivotField>
    <pivotField axis="axisCol" showAll="0">
      <items count="5">
        <item x="0"/>
        <item x="1"/>
        <item x="2"/>
        <item x="3"/>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Number of Units" fld="2"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7858-8313-4999-9588-1C1AEBA2962D}"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2" firstHeaderRow="1" firstDataRow="2" firstDataCol="1" rowPageCount="2" colPageCount="1"/>
  <pivotFields count="5">
    <pivotField axis="axisRow" showAll="0">
      <items count="7">
        <item x="1"/>
        <item x="3"/>
        <item x="4"/>
        <item x="5"/>
        <item x="2"/>
        <item x="0"/>
        <item t="default"/>
      </items>
    </pivotField>
    <pivotField axis="axisCol" showAll="0">
      <items count="3">
        <item x="1"/>
        <item x="0"/>
        <item t="default"/>
      </items>
    </pivotField>
    <pivotField axis="axisPage" multipleItemSelectionAllowed="1" showAll="0">
      <items count="11">
        <item x="0"/>
        <item x="2"/>
        <item x="1"/>
        <item x="4"/>
        <item x="7"/>
        <item x="5"/>
        <item x="6"/>
        <item x="9"/>
        <item x="3"/>
        <item x="8"/>
        <item t="default"/>
      </items>
    </pivotField>
    <pivotField dataField="1" showAll="0"/>
    <pivotField axis="axisPage" showAll="0">
      <items count="13">
        <item x="0"/>
        <item x="6"/>
        <item x="11"/>
        <item x="5"/>
        <item x="3"/>
        <item x="1"/>
        <item x="4"/>
        <item x="2"/>
        <item x="9"/>
        <item x="7"/>
        <item x="10"/>
        <item x="8"/>
        <item t="default"/>
      </items>
    </pivotField>
  </pivotFields>
  <rowFields count="1">
    <field x="0"/>
  </rowFields>
  <rowItems count="7">
    <i>
      <x/>
    </i>
    <i>
      <x v="1"/>
    </i>
    <i>
      <x v="2"/>
    </i>
    <i>
      <x v="3"/>
    </i>
    <i>
      <x v="4"/>
    </i>
    <i>
      <x v="5"/>
    </i>
    <i t="grand">
      <x/>
    </i>
  </rowItems>
  <colFields count="1">
    <field x="1"/>
  </colFields>
  <colItems count="3">
    <i>
      <x/>
    </i>
    <i>
      <x v="1"/>
    </i>
    <i t="grand">
      <x/>
    </i>
  </colItems>
  <pageFields count="2">
    <pageField fld="2" hier="-1"/>
    <pageField fld="4" hier="-1"/>
  </pageFields>
  <dataFields count="1">
    <dataField name="Sum of Quantity" fld="3"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627A3-D8B5-428E-B88A-4AB9D69ECEAC}"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5">
    <pivotField axis="axisRow" showAll="0">
      <items count="11">
        <item x="0"/>
        <item x="4"/>
        <item x="8"/>
        <item x="6"/>
        <item x="1"/>
        <item x="2"/>
        <item x="7"/>
        <item x="3"/>
        <item x="5"/>
        <item x="9"/>
        <item t="default"/>
      </items>
    </pivotField>
    <pivotField axis="axisPage" showAll="0">
      <items count="4">
        <item x="0"/>
        <item x="1"/>
        <item x="2"/>
        <item t="default"/>
      </items>
    </pivotField>
    <pivotField axis="axisCol" showAll="0">
      <items count="6">
        <item x="4"/>
        <item x="3"/>
        <item x="0"/>
        <item x="2"/>
        <item x="1"/>
        <item t="default"/>
      </items>
    </pivotField>
    <pivotField dataField="1" showAll="0"/>
    <pivotField axis="axisPage" showAll="0">
      <items count="3">
        <item x="0"/>
        <item x="1"/>
        <item t="default"/>
      </items>
    </pivotField>
  </pivotFields>
  <rowFields count="1">
    <field x="0"/>
  </rowFields>
  <rowItems count="4">
    <i>
      <x v="4"/>
    </i>
    <i>
      <x v="8"/>
    </i>
    <i>
      <x v="9"/>
    </i>
    <i t="grand">
      <x/>
    </i>
  </rowItems>
  <colFields count="1">
    <field x="2"/>
  </colFields>
  <colItems count="3">
    <i>
      <x v="3"/>
    </i>
    <i>
      <x v="4"/>
    </i>
    <i t="grand">
      <x/>
    </i>
  </colItems>
  <pageFields count="2">
    <pageField fld="1" item="1" hier="-1"/>
    <pageField fld="4" hier="-1"/>
  </pageFields>
  <dataFields count="1">
    <dataField name="Sum of Hike%" fld="3"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175CC-022E-43D0-B535-F6FD3CAB3C95}" name="PivotTable1" cacheId="1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E10"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multipleItemSelectionAllowed="1" showAll="0"/>
  </pivotFields>
  <rowFields count="1">
    <field x="0"/>
  </rowFields>
  <rowItems count="6">
    <i>
      <x/>
    </i>
    <i>
      <x v="1"/>
    </i>
    <i>
      <x v="2"/>
    </i>
    <i>
      <x v="3"/>
    </i>
    <i>
      <x v="4"/>
    </i>
    <i t="grand">
      <x/>
    </i>
  </rowItems>
  <colFields count="1">
    <field x="1"/>
  </colFields>
  <colItems count="4">
    <i>
      <x/>
    </i>
    <i>
      <x v="1"/>
    </i>
    <i>
      <x v="2"/>
    </i>
    <i t="grand">
      <x/>
    </i>
  </colItems>
  <dataFields count="1">
    <dataField name="Sum of Revenue in $" fld="2" baseField="0" baseItem="0"/>
  </dataFields>
  <chartFormats count="9">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C1F808-4B14-4978-94FD-8EF87C8DA72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J7" firstHeaderRow="1" firstDataRow="2" firstDataCol="1"/>
  <pivotFields count="3">
    <pivotField axis="axisRow" showAll="0">
      <items count="5">
        <item x="0"/>
        <item x="1"/>
        <item x="2"/>
        <item x="3"/>
        <item t="default"/>
      </items>
    </pivotField>
    <pivotField axis="axisCol" showAll="0">
      <items count="5">
        <item x="3"/>
        <item x="2"/>
        <item x="0"/>
        <item x="1"/>
        <item t="default"/>
      </items>
    </pivotField>
    <pivotField dataField="1" showAll="0"/>
  </pivotFields>
  <rowFields count="1">
    <field x="0"/>
  </rowFields>
  <rowItems count="5">
    <i>
      <x/>
    </i>
    <i>
      <x v="1"/>
    </i>
    <i>
      <x v="2"/>
    </i>
    <i>
      <x v="3"/>
    </i>
    <i t="grand">
      <x/>
    </i>
  </rowItems>
  <colFields count="1">
    <field x="1"/>
  </colFields>
  <colItems count="5">
    <i>
      <x/>
    </i>
    <i>
      <x v="1"/>
    </i>
    <i>
      <x v="2"/>
    </i>
    <i>
      <x v="3"/>
    </i>
    <i t="grand">
      <x/>
    </i>
  </colItems>
  <dataFields count="1">
    <dataField name="Sum of Scor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1DFBC1C-AF2E-4198-ACCF-6A02E8362811}" sourceName="Designation">
  <pivotTables>
    <pivotTable tabId="49" name="PivotTable18"/>
  </pivotTables>
  <data>
    <tabular pivotCacheId="65556976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D1667F26-F998-43E6-A6AE-7A3CE1017038}" cache="Slicer_Designation" caption="Design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4.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5.bin"/></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3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1.bin"/></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2.bin"/></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34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7.bin"/></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28.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44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44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60.bin"/></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452.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45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464.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466.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483.xml.rels><?xml version="1.0" encoding="UTF-8" standalone="yes"?>
<Relationships xmlns="http://schemas.openxmlformats.org/package/2006/relationships"><Relationship Id="rId1" Type="http://schemas.openxmlformats.org/officeDocument/2006/relationships/hyperlink" Target="mailto:customer.support@abb.com" TargetMode="External"/></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24.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54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550.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55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5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563.xml.rels><?xml version="1.0" encoding="UTF-8" standalone="yes"?>
<Relationships xmlns="http://schemas.openxmlformats.org/package/2006/relationships"><Relationship Id="rId2" Type="http://schemas.openxmlformats.org/officeDocument/2006/relationships/printerSettings" Target="../printerSettings/printerSettings197.bin"/><Relationship Id="rId1" Type="http://schemas.openxmlformats.org/officeDocument/2006/relationships/hyperlink" Target="mailto:anna.frank@gmail.com" TargetMode="External"/></Relationships>
</file>

<file path=xl/worksheets/_rels/sheet564.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565.xml.rels><?xml version="1.0" encoding="UTF-8" standalone="yes"?>
<Relationships xmlns="http://schemas.openxmlformats.org/package/2006/relationships"><Relationship Id="rId1" Type="http://schemas.openxmlformats.org/officeDocument/2006/relationships/hyperlink" Target="mailto:kevin.reed@gmail.com_1023" TargetMode="External"/></Relationships>
</file>

<file path=xl/worksheets/_rels/sheet56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7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574.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5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5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5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581.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583.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58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59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59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59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595.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596.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599.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601.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60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60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60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60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611.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4.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616.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617.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626.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628.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631.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635.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637.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64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646.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647.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648.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649.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5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5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5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60.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6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5.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666.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67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6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42.bin"/></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43.bin"/></Relationships>
</file>

<file path=xl/worksheets/_rels/sheet6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44.bin"/></Relationships>
</file>

<file path=xl/worksheets/_rels/sheet67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7.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68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46.bin"/></Relationships>
</file>

<file path=xl/worksheets/_rels/sheet69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47.bin"/></Relationships>
</file>

<file path=xl/worksheets/_rels/sheet69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48.bin"/></Relationships>
</file>

<file path=xl/worksheets/_rels/sheet69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70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70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2.bin"/></Relationships>
</file>

<file path=xl/worksheets/_rels/sheet71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1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3.bin"/></Relationships>
</file>

<file path=xl/worksheets/_rels/sheet71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1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4.bin"/></Relationships>
</file>

<file path=xl/worksheets/_rels/sheet71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721.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72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727.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56.bin"/></Relationships>
</file>

<file path=xl/worksheets/_rels/sheet728.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733.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257.bin"/></Relationships>
</file>

<file path=xl/worksheets/_rels/sheet734.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73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258.bin"/></Relationships>
</file>

<file path=xl/worksheets/_rels/sheet739.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740.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743.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744.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31A3-3E08-49A9-BEB9-AD6091AD7E83}">
  <sheetPr codeName="Sheet1"/>
  <dimension ref="A1:C7"/>
  <sheetViews>
    <sheetView workbookViewId="0"/>
  </sheetViews>
  <sheetFormatPr defaultRowHeight="14.4"/>
  <cols>
    <col min="1" max="1" width="14.88671875" bestFit="1" customWidth="1"/>
    <col min="3" max="3" width="15" bestFit="1" customWidth="1"/>
  </cols>
  <sheetData>
    <row r="1" spans="1:3">
      <c r="A1" s="1" t="s">
        <v>0</v>
      </c>
      <c r="B1" s="1" t="s">
        <v>1</v>
      </c>
      <c r="C1" s="1" t="s">
        <v>2</v>
      </c>
    </row>
    <row r="2" spans="1:3">
      <c r="A2" s="3" t="s">
        <v>3</v>
      </c>
      <c r="B2" s="2">
        <v>8</v>
      </c>
      <c r="C2" s="2">
        <v>4</v>
      </c>
    </row>
    <row r="3" spans="1:3">
      <c r="A3" s="3" t="s">
        <v>4</v>
      </c>
      <c r="B3" s="2">
        <v>8</v>
      </c>
      <c r="C3" s="2">
        <v>1</v>
      </c>
    </row>
    <row r="4" spans="1:3">
      <c r="A4" s="3" t="s">
        <v>5</v>
      </c>
      <c r="B4" s="2">
        <v>8</v>
      </c>
      <c r="C4" s="2">
        <v>3</v>
      </c>
    </row>
    <row r="5" spans="1:3">
      <c r="A5" s="3" t="s">
        <v>6</v>
      </c>
      <c r="B5" s="2">
        <v>8</v>
      </c>
      <c r="C5" s="2">
        <v>2</v>
      </c>
    </row>
    <row r="6" spans="1:3">
      <c r="A6" s="3" t="s">
        <v>7</v>
      </c>
      <c r="B6" s="2">
        <v>8</v>
      </c>
      <c r="C6" s="2">
        <v>5</v>
      </c>
    </row>
    <row r="7" spans="1:3">
      <c r="A7" s="3" t="s">
        <v>8</v>
      </c>
      <c r="B7" s="2">
        <v>8</v>
      </c>
      <c r="C7" s="2">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16D4-E341-4B3C-A7DF-634DC85E1BDC}">
  <sheetPr codeName="Sheet2"/>
  <dimension ref="A1:D6"/>
  <sheetViews>
    <sheetView workbookViewId="0"/>
  </sheetViews>
  <sheetFormatPr defaultRowHeight="14.4"/>
  <cols>
    <col min="3" max="3" width="21.6640625" bestFit="1" customWidth="1"/>
    <col min="4" max="4" width="40.44140625" bestFit="1" customWidth="1"/>
  </cols>
  <sheetData>
    <row r="1" spans="1:4">
      <c r="A1" s="1" t="s">
        <v>9</v>
      </c>
      <c r="B1" s="1" t="s">
        <v>10</v>
      </c>
      <c r="C1" s="1" t="s">
        <v>11</v>
      </c>
      <c r="D1" s="1" t="s">
        <v>12</v>
      </c>
    </row>
    <row r="2" spans="1:4">
      <c r="A2" s="2">
        <v>100</v>
      </c>
      <c r="B2" s="2">
        <v>200</v>
      </c>
      <c r="C2" s="2">
        <f>A2+B2</f>
        <v>300</v>
      </c>
      <c r="D2" s="4" t="s">
        <v>13</v>
      </c>
    </row>
    <row r="3" spans="1:4">
      <c r="A3" s="2">
        <v>450</v>
      </c>
      <c r="B3" s="2">
        <v>300</v>
      </c>
      <c r="C3" s="2">
        <f>A3-B3</f>
        <v>150</v>
      </c>
      <c r="D3" s="4" t="s">
        <v>14</v>
      </c>
    </row>
    <row r="4" spans="1:4">
      <c r="A4" s="2">
        <v>100</v>
      </c>
      <c r="B4" s="2">
        <v>3000</v>
      </c>
      <c r="C4" s="2">
        <f>A4*B4</f>
        <v>300000</v>
      </c>
      <c r="D4" s="4" t="s">
        <v>15</v>
      </c>
    </row>
    <row r="5" spans="1:4">
      <c r="A5" s="2">
        <v>500</v>
      </c>
      <c r="B5" s="2">
        <v>100</v>
      </c>
      <c r="C5" s="2">
        <f>A5/B5</f>
        <v>5</v>
      </c>
      <c r="D5" s="4" t="s">
        <v>16</v>
      </c>
    </row>
    <row r="6" spans="1:4">
      <c r="A6" s="2">
        <v>800</v>
      </c>
      <c r="B6" s="2">
        <v>2</v>
      </c>
      <c r="C6" s="2">
        <f>MOD(A6,B6)</f>
        <v>0</v>
      </c>
      <c r="D6"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3BBC-D489-4D16-B828-15063DAD54B8}">
  <sheetPr codeName="Sheet3"/>
  <dimension ref="A1:B9"/>
  <sheetViews>
    <sheetView workbookViewId="0"/>
  </sheetViews>
  <sheetFormatPr defaultRowHeight="14.4"/>
  <cols>
    <col min="1" max="1" width="14.5546875" bestFit="1" customWidth="1"/>
    <col min="2" max="2" width="9.88671875" bestFit="1" customWidth="1"/>
  </cols>
  <sheetData>
    <row r="1" spans="1:2">
      <c r="A1" s="1" t="s">
        <v>18</v>
      </c>
      <c r="B1" s="1" t="s">
        <v>19</v>
      </c>
    </row>
    <row r="2" spans="1:2">
      <c r="A2" s="2" t="str">
        <f>CHAR(35)</f>
        <v>#</v>
      </c>
      <c r="B2" s="2">
        <v>35</v>
      </c>
    </row>
    <row r="3" spans="1:2">
      <c r="A3" s="2" t="str">
        <f>CHAR(36)</f>
        <v>$</v>
      </c>
      <c r="B3" s="2">
        <v>36</v>
      </c>
    </row>
    <row r="4" spans="1:2">
      <c r="A4" s="2" t="str">
        <f>CHAR(37)</f>
        <v>%</v>
      </c>
      <c r="B4" s="2">
        <v>37</v>
      </c>
    </row>
    <row r="5" spans="1:2">
      <c r="A5" s="2" t="str">
        <f>CHAR(38)</f>
        <v>&amp;</v>
      </c>
      <c r="B5" s="2">
        <v>38</v>
      </c>
    </row>
    <row r="6" spans="1:2">
      <c r="A6" s="2" t="str">
        <f>CHAR(39)</f>
        <v>'</v>
      </c>
      <c r="B6" s="2">
        <v>39</v>
      </c>
    </row>
    <row r="7" spans="1:2">
      <c r="A7" s="2" t="str">
        <f>CHAR(40)</f>
        <v>(</v>
      </c>
      <c r="B7" s="2">
        <v>40</v>
      </c>
    </row>
    <row r="8" spans="1:2">
      <c r="A8" s="2" t="str">
        <f>CHAR(41)</f>
        <v>)</v>
      </c>
      <c r="B8" s="2">
        <v>41</v>
      </c>
    </row>
    <row r="9" spans="1:2">
      <c r="A9" s="2" t="str">
        <f>CHAR(42)</f>
        <v>*</v>
      </c>
      <c r="B9" s="2">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6FBE4-B578-46CA-8654-3A03B391C41C}">
  <sheetPr codeName="Sheet4"/>
  <dimension ref="A1:C4"/>
  <sheetViews>
    <sheetView workbookViewId="0"/>
  </sheetViews>
  <sheetFormatPr defaultRowHeight="14.4"/>
  <cols>
    <col min="1" max="1" width="13.88671875" bestFit="1" customWidth="1"/>
    <col min="3" max="3" width="14.88671875" bestFit="1" customWidth="1"/>
  </cols>
  <sheetData>
    <row r="1" spans="1:3">
      <c r="A1" s="1" t="s">
        <v>30</v>
      </c>
      <c r="B1" s="1" t="s">
        <v>20</v>
      </c>
      <c r="C1" s="1" t="s">
        <v>31</v>
      </c>
    </row>
    <row r="2" spans="1:3">
      <c r="A2" s="2" t="s">
        <v>21</v>
      </c>
      <c r="B2" s="2" t="s">
        <v>22</v>
      </c>
      <c r="C2" s="5" t="s">
        <v>23</v>
      </c>
    </row>
    <row r="3" spans="1:3">
      <c r="A3" s="2" t="s">
        <v>24</v>
      </c>
      <c r="B3" s="2" t="s">
        <v>25</v>
      </c>
      <c r="C3" s="5" t="s">
        <v>26</v>
      </c>
    </row>
    <row r="4" spans="1:3">
      <c r="A4" s="2" t="s">
        <v>27</v>
      </c>
      <c r="B4" s="2" t="s">
        <v>28</v>
      </c>
      <c r="C4" s="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E84-ED3E-46F4-81FB-FBD0F51568B1}">
  <sheetPr codeName="Sheet5"/>
  <dimension ref="A1:D10"/>
  <sheetViews>
    <sheetView workbookViewId="0">
      <selection activeCell="J6" sqref="J6"/>
    </sheetView>
  </sheetViews>
  <sheetFormatPr defaultRowHeight="14.4"/>
  <cols>
    <col min="1" max="1" width="16.109375" bestFit="1" customWidth="1"/>
    <col min="2" max="2" width="15.6640625" bestFit="1" customWidth="1"/>
    <col min="3" max="3" width="19.44140625" bestFit="1" customWidth="1"/>
    <col min="4" max="4" width="22.6640625" bestFit="1" customWidth="1"/>
  </cols>
  <sheetData>
    <row r="1" spans="1:4">
      <c r="A1" s="1" t="s">
        <v>33</v>
      </c>
      <c r="B1" s="1" t="s">
        <v>34</v>
      </c>
      <c r="C1" s="1" t="s">
        <v>35</v>
      </c>
      <c r="D1" s="1" t="s">
        <v>36</v>
      </c>
    </row>
    <row r="2" spans="1:4">
      <c r="A2" s="2">
        <v>2015</v>
      </c>
      <c r="B2" s="2">
        <v>65000</v>
      </c>
      <c r="C2" s="2">
        <v>9000</v>
      </c>
      <c r="D2" s="7">
        <f t="array" ref="D2:D7">B2:B7+C2:C7</f>
        <v>74000</v>
      </c>
    </row>
    <row r="3" spans="1:4">
      <c r="A3" s="2">
        <v>2016</v>
      </c>
      <c r="B3" s="2">
        <v>70000</v>
      </c>
      <c r="C3" s="2">
        <v>10000</v>
      </c>
      <c r="D3" s="7">
        <v>80000</v>
      </c>
    </row>
    <row r="4" spans="1:4">
      <c r="A4" s="2">
        <v>2017</v>
      </c>
      <c r="B4" s="2">
        <v>75000</v>
      </c>
      <c r="C4" s="2">
        <v>11000</v>
      </c>
      <c r="D4" s="7">
        <v>86000</v>
      </c>
    </row>
    <row r="5" spans="1:4">
      <c r="A5" s="2">
        <v>2018</v>
      </c>
      <c r="B5" s="2">
        <v>90000</v>
      </c>
      <c r="C5" s="2">
        <v>25000</v>
      </c>
      <c r="D5" s="7">
        <v>115000</v>
      </c>
    </row>
    <row r="6" spans="1:4">
      <c r="A6" s="2">
        <v>2019</v>
      </c>
      <c r="B6" s="2">
        <v>200000</v>
      </c>
      <c r="C6" s="2">
        <v>30000</v>
      </c>
      <c r="D6" s="7">
        <v>230000</v>
      </c>
    </row>
    <row r="7" spans="1:4">
      <c r="A7" s="2">
        <v>2020</v>
      </c>
      <c r="B7" s="2">
        <v>240000</v>
      </c>
      <c r="C7" s="2">
        <v>33000</v>
      </c>
      <c r="D7" s="7">
        <v>273000</v>
      </c>
    </row>
    <row r="10" spans="1:4">
      <c r="B1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CA50-4EA3-4320-85D9-2B1C8E6F7045}">
  <sheetPr codeName="Sheet6"/>
  <dimension ref="A1:C15"/>
  <sheetViews>
    <sheetView workbookViewId="0">
      <selection activeCell="J6" sqref="J6"/>
    </sheetView>
  </sheetViews>
  <sheetFormatPr defaultRowHeight="14.4"/>
  <cols>
    <col min="1" max="1" width="15.109375" bestFit="1" customWidth="1"/>
    <col min="2" max="2" width="18.109375" bestFit="1" customWidth="1"/>
    <col min="3" max="3" width="19.6640625" bestFit="1" customWidth="1"/>
  </cols>
  <sheetData>
    <row r="1" spans="1:3">
      <c r="A1" s="1" t="s">
        <v>32</v>
      </c>
      <c r="B1" s="1" t="s">
        <v>60</v>
      </c>
      <c r="C1" s="1" t="s">
        <v>61</v>
      </c>
    </row>
    <row r="2" spans="1:3">
      <c r="A2" s="2" t="s">
        <v>47</v>
      </c>
      <c r="B2" s="2">
        <v>23000</v>
      </c>
      <c r="C2" s="2">
        <v>2000</v>
      </c>
    </row>
    <row r="3" spans="1:3">
      <c r="A3" s="2" t="s">
        <v>48</v>
      </c>
      <c r="B3" s="2">
        <v>25500</v>
      </c>
      <c r="C3" s="2">
        <v>1500</v>
      </c>
    </row>
    <row r="4" spans="1:3">
      <c r="A4" s="2" t="s">
        <v>49</v>
      </c>
      <c r="B4" s="2">
        <v>27450</v>
      </c>
      <c r="C4" s="2">
        <v>2500</v>
      </c>
    </row>
    <row r="5" spans="1:3">
      <c r="A5" s="2" t="s">
        <v>50</v>
      </c>
      <c r="B5" s="2">
        <v>21000</v>
      </c>
      <c r="C5" s="2">
        <v>1000</v>
      </c>
    </row>
    <row r="6" spans="1:3">
      <c r="A6" s="2" t="s">
        <v>51</v>
      </c>
      <c r="B6" s="2">
        <v>23890</v>
      </c>
      <c r="C6" s="2">
        <v>1200</v>
      </c>
    </row>
    <row r="7" spans="1:3">
      <c r="A7" s="2" t="s">
        <v>52</v>
      </c>
      <c r="B7" s="2">
        <v>29000</v>
      </c>
      <c r="C7" s="2">
        <v>1550</v>
      </c>
    </row>
    <row r="8" spans="1:3">
      <c r="A8" s="2" t="s">
        <v>53</v>
      </c>
      <c r="B8" s="2">
        <v>33000</v>
      </c>
      <c r="C8" s="2">
        <v>4000</v>
      </c>
    </row>
    <row r="9" spans="1:3">
      <c r="A9" s="2" t="s">
        <v>54</v>
      </c>
      <c r="B9" s="2">
        <v>26575</v>
      </c>
      <c r="C9" s="2">
        <v>1100</v>
      </c>
    </row>
    <row r="10" spans="1:3">
      <c r="A10" s="2" t="s">
        <v>55</v>
      </c>
      <c r="B10" s="2">
        <v>29250</v>
      </c>
      <c r="C10" s="2">
        <v>500</v>
      </c>
    </row>
    <row r="11" spans="1:3">
      <c r="A11" s="2" t="s">
        <v>56</v>
      </c>
      <c r="B11" s="2">
        <v>25000</v>
      </c>
      <c r="C11" s="2">
        <v>1300</v>
      </c>
    </row>
    <row r="12" spans="1:3">
      <c r="A12" s="2" t="s">
        <v>57</v>
      </c>
      <c r="B12" s="2">
        <v>30000</v>
      </c>
      <c r="C12" s="2">
        <v>1400</v>
      </c>
    </row>
    <row r="13" spans="1:3">
      <c r="A13" s="2" t="s">
        <v>58</v>
      </c>
      <c r="B13" s="2">
        <v>29890</v>
      </c>
      <c r="C13" s="2">
        <v>4500</v>
      </c>
    </row>
    <row r="15" spans="1:3">
      <c r="A15" s="1" t="s">
        <v>59</v>
      </c>
      <c r="B15" s="7">
        <f t="array" ref="B15">SUM(B2:B13-C2:C13)</f>
        <v>301005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50D3C-EB75-453B-82B1-C095426C2095}">
  <sheetPr codeName="Sheet7"/>
  <dimension ref="A1:I10"/>
  <sheetViews>
    <sheetView workbookViewId="0">
      <selection activeCell="J6" sqref="J6"/>
    </sheetView>
  </sheetViews>
  <sheetFormatPr defaultRowHeight="14.4"/>
  <cols>
    <col min="1" max="1" width="23.109375" bestFit="1" customWidth="1"/>
    <col min="2" max="2" width="11.33203125" customWidth="1"/>
    <col min="3" max="3" width="12.44140625" customWidth="1"/>
    <col min="4" max="4" width="11.44140625" customWidth="1"/>
    <col min="7" max="7" width="27.109375" bestFit="1" customWidth="1"/>
    <col min="8" max="8" width="21.88671875" customWidth="1"/>
    <col min="9" max="9" width="21.88671875" bestFit="1" customWidth="1"/>
  </cols>
  <sheetData>
    <row r="1" spans="1:9" ht="41.1" customHeight="1">
      <c r="A1" s="1" t="s">
        <v>75</v>
      </c>
      <c r="B1" s="8" t="s">
        <v>72</v>
      </c>
      <c r="C1" s="8" t="s">
        <v>71</v>
      </c>
      <c r="D1" s="8" t="s">
        <v>74</v>
      </c>
      <c r="H1" s="8" t="s">
        <v>73</v>
      </c>
      <c r="I1" s="8" t="s">
        <v>78</v>
      </c>
    </row>
    <row r="2" spans="1:9">
      <c r="A2" s="2" t="s">
        <v>62</v>
      </c>
      <c r="B2" s="2">
        <v>25020</v>
      </c>
      <c r="C2" s="2">
        <v>27750</v>
      </c>
      <c r="D2" s="7">
        <f>C2-B2</f>
        <v>2730</v>
      </c>
      <c r="G2" s="1" t="s">
        <v>76</v>
      </c>
      <c r="H2" s="7">
        <f>MIN(D2:D10)</f>
        <v>-1952</v>
      </c>
      <c r="I2" s="7" t="str">
        <f>INDEX(A2:A10,MATCH(MIN(D2:D10),D2:D10,FALSE),1)</f>
        <v>Samsung Galaxy A20</v>
      </c>
    </row>
    <row r="3" spans="1:9">
      <c r="A3" s="2" t="s">
        <v>63</v>
      </c>
      <c r="B3" s="2">
        <v>3600</v>
      </c>
      <c r="C3" s="2">
        <v>7000</v>
      </c>
      <c r="D3" s="7">
        <f t="shared" ref="D3:D10" si="0">C3-B3</f>
        <v>3400</v>
      </c>
      <c r="G3" s="1" t="s">
        <v>77</v>
      </c>
      <c r="H3" s="7">
        <f t="array" ref="H3">MIN(C2:C10-B2:B10)</f>
        <v>-1952</v>
      </c>
      <c r="I3" s="7" t="str">
        <f>INDEX(A3:A11,MATCH(MIN(D3:D11),D3:D11,FALSE),1)</f>
        <v>Samsung Galaxy A20</v>
      </c>
    </row>
    <row r="4" spans="1:9">
      <c r="A4" s="2" t="s">
        <v>64</v>
      </c>
      <c r="B4" s="2">
        <v>4500</v>
      </c>
      <c r="C4" s="2">
        <v>3000</v>
      </c>
      <c r="D4" s="7">
        <f t="shared" si="0"/>
        <v>-1500</v>
      </c>
    </row>
    <row r="5" spans="1:9">
      <c r="A5" s="2" t="s">
        <v>65</v>
      </c>
      <c r="B5" s="2">
        <v>20105</v>
      </c>
      <c r="C5" s="2">
        <v>29000</v>
      </c>
      <c r="D5" s="7">
        <f t="shared" si="0"/>
        <v>8895</v>
      </c>
    </row>
    <row r="6" spans="1:9">
      <c r="A6" s="2" t="s">
        <v>66</v>
      </c>
      <c r="B6" s="2">
        <v>18450</v>
      </c>
      <c r="C6" s="2">
        <v>19380</v>
      </c>
      <c r="D6" s="7">
        <f t="shared" si="0"/>
        <v>930</v>
      </c>
    </row>
    <row r="7" spans="1:9">
      <c r="A7" s="2" t="s">
        <v>67</v>
      </c>
      <c r="B7" s="2">
        <v>28128</v>
      </c>
      <c r="C7" s="2">
        <v>34000</v>
      </c>
      <c r="D7" s="7">
        <f t="shared" si="0"/>
        <v>5872</v>
      </c>
    </row>
    <row r="8" spans="1:9">
      <c r="A8" s="2" t="s">
        <v>68</v>
      </c>
      <c r="B8" s="2">
        <v>15370</v>
      </c>
      <c r="C8" s="2">
        <v>17890</v>
      </c>
      <c r="D8" s="7">
        <f t="shared" si="0"/>
        <v>2520</v>
      </c>
    </row>
    <row r="9" spans="1:9">
      <c r="A9" s="2" t="s">
        <v>69</v>
      </c>
      <c r="B9" s="2">
        <v>4530</v>
      </c>
      <c r="C9" s="2">
        <v>2578</v>
      </c>
      <c r="D9" s="7">
        <f t="shared" si="0"/>
        <v>-1952</v>
      </c>
    </row>
    <row r="10" spans="1:9">
      <c r="A10" s="2" t="s">
        <v>70</v>
      </c>
      <c r="B10" s="2">
        <v>16790</v>
      </c>
      <c r="C10" s="2">
        <v>18480</v>
      </c>
      <c r="D10" s="7">
        <f t="shared" si="0"/>
        <v>1690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1674-0A4A-41B3-9E02-C2C6D25671F6}">
  <sheetPr codeName="Sheet8"/>
  <dimension ref="A1:D11"/>
  <sheetViews>
    <sheetView workbookViewId="0">
      <selection activeCell="J6" sqref="J6"/>
    </sheetView>
  </sheetViews>
  <sheetFormatPr defaultRowHeight="14.4"/>
  <cols>
    <col min="1" max="1" width="17.109375" bestFit="1" customWidth="1"/>
    <col min="2" max="2" width="19.6640625" bestFit="1" customWidth="1"/>
    <col min="3" max="3" width="14.88671875" bestFit="1" customWidth="1"/>
    <col min="4" max="4" width="27.5546875" bestFit="1" customWidth="1"/>
  </cols>
  <sheetData>
    <row r="1" spans="1:4">
      <c r="A1" s="1" t="s">
        <v>0</v>
      </c>
      <c r="B1" s="1" t="s">
        <v>90</v>
      </c>
      <c r="C1" s="1" t="s">
        <v>89</v>
      </c>
      <c r="D1" s="1" t="s">
        <v>88</v>
      </c>
    </row>
    <row r="2" spans="1:4">
      <c r="A2" s="3" t="s">
        <v>37</v>
      </c>
      <c r="B2" s="2">
        <v>70</v>
      </c>
      <c r="C2" s="2">
        <v>10</v>
      </c>
      <c r="D2" s="7">
        <f t="array" ref="D2:D11">B2:B11+C2:C11</f>
        <v>80</v>
      </c>
    </row>
    <row r="3" spans="1:4">
      <c r="A3" s="3" t="s">
        <v>38</v>
      </c>
      <c r="B3" s="2">
        <v>75</v>
      </c>
      <c r="C3" s="2">
        <v>15</v>
      </c>
      <c r="D3" s="7">
        <v>90</v>
      </c>
    </row>
    <row r="4" spans="1:4">
      <c r="A4" s="3" t="s">
        <v>39</v>
      </c>
      <c r="B4" s="2">
        <v>65</v>
      </c>
      <c r="C4" s="2">
        <v>15</v>
      </c>
      <c r="D4" s="7">
        <v>80</v>
      </c>
    </row>
    <row r="5" spans="1:4">
      <c r="A5" s="3" t="s">
        <v>40</v>
      </c>
      <c r="B5" s="2">
        <v>72</v>
      </c>
      <c r="C5" s="2">
        <v>18</v>
      </c>
      <c r="D5" s="7">
        <v>90</v>
      </c>
    </row>
    <row r="6" spans="1:4">
      <c r="A6" s="3" t="s">
        <v>41</v>
      </c>
      <c r="B6" s="2">
        <v>73</v>
      </c>
      <c r="C6" s="2">
        <v>11</v>
      </c>
      <c r="D6" s="7">
        <v>84</v>
      </c>
    </row>
    <row r="7" spans="1:4">
      <c r="A7" s="3" t="s">
        <v>42</v>
      </c>
      <c r="B7" s="2">
        <v>69</v>
      </c>
      <c r="C7" s="2">
        <v>12</v>
      </c>
      <c r="D7" s="7">
        <v>81</v>
      </c>
    </row>
    <row r="8" spans="1:4">
      <c r="A8" s="3" t="s">
        <v>43</v>
      </c>
      <c r="B8" s="2">
        <v>74</v>
      </c>
      <c r="C8" s="2">
        <v>18</v>
      </c>
      <c r="D8" s="7">
        <v>92</v>
      </c>
    </row>
    <row r="9" spans="1:4">
      <c r="A9" s="3" t="s">
        <v>44</v>
      </c>
      <c r="B9" s="2">
        <v>71</v>
      </c>
      <c r="C9" s="2">
        <v>10</v>
      </c>
      <c r="D9" s="7">
        <v>81</v>
      </c>
    </row>
    <row r="10" spans="1:4">
      <c r="A10" s="3" t="s">
        <v>45</v>
      </c>
      <c r="B10" s="2">
        <v>68</v>
      </c>
      <c r="C10" s="2">
        <v>15</v>
      </c>
      <c r="D10" s="7">
        <v>83</v>
      </c>
    </row>
    <row r="11" spans="1:4">
      <c r="A11" s="3" t="s">
        <v>46</v>
      </c>
      <c r="B11" s="2">
        <v>60</v>
      </c>
      <c r="C11" s="2">
        <v>10</v>
      </c>
      <c r="D11" s="7">
        <v>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3DD6B-269E-44E2-B7DE-7C03BA99A547}">
  <sheetPr codeName="Sheet9"/>
  <dimension ref="A1:F11"/>
  <sheetViews>
    <sheetView workbookViewId="0">
      <selection activeCell="J6" sqref="J6"/>
    </sheetView>
  </sheetViews>
  <sheetFormatPr defaultRowHeight="14.4"/>
  <cols>
    <col min="1" max="1" width="11.88671875" bestFit="1" customWidth="1"/>
    <col min="2" max="2" width="10.88671875" bestFit="1" customWidth="1"/>
    <col min="3" max="3" width="15.88671875" bestFit="1" customWidth="1"/>
    <col min="4" max="4" width="11.88671875" bestFit="1" customWidth="1"/>
    <col min="5" max="6" width="9.88671875" bestFit="1" customWidth="1"/>
  </cols>
  <sheetData>
    <row r="1" spans="1:6">
      <c r="A1" s="1" t="s">
        <v>30</v>
      </c>
      <c r="B1" s="1" t="s">
        <v>95</v>
      </c>
      <c r="C1" s="1" t="s">
        <v>96</v>
      </c>
    </row>
    <row r="2" spans="1:6">
      <c r="A2" s="2" t="s">
        <v>91</v>
      </c>
      <c r="B2" s="10">
        <v>1</v>
      </c>
      <c r="C2" s="11">
        <v>1439323880</v>
      </c>
    </row>
    <row r="3" spans="1:6">
      <c r="A3" s="2" t="s">
        <v>24</v>
      </c>
      <c r="B3" s="12">
        <v>2</v>
      </c>
      <c r="C3" s="13">
        <v>1345504385</v>
      </c>
    </row>
    <row r="4" spans="1:6">
      <c r="A4" s="2" t="s">
        <v>92</v>
      </c>
      <c r="B4" s="10">
        <v>3</v>
      </c>
      <c r="C4" s="11">
        <v>331955651</v>
      </c>
    </row>
    <row r="5" spans="1:6">
      <c r="A5" s="2" t="s">
        <v>93</v>
      </c>
      <c r="B5" s="12">
        <v>4</v>
      </c>
      <c r="C5" s="13">
        <v>273309615</v>
      </c>
    </row>
    <row r="6" spans="1:6">
      <c r="A6" s="2" t="s">
        <v>94</v>
      </c>
      <c r="B6" s="10">
        <v>5</v>
      </c>
      <c r="C6" s="11">
        <v>220892092</v>
      </c>
    </row>
    <row r="9" spans="1:6">
      <c r="A9" t="str">
        <f t="array" ref="A9:F11">TRANSPOSE(A1:C6)</f>
        <v>Country</v>
      </c>
      <c r="B9" t="str">
        <v>China</v>
      </c>
      <c r="C9" t="str">
        <v>India</v>
      </c>
      <c r="D9" t="str">
        <v>United States</v>
      </c>
      <c r="E9" t="str">
        <v>Indonesia</v>
      </c>
      <c r="F9" t="str">
        <v>Pakistan</v>
      </c>
    </row>
    <row r="10" spans="1:6">
      <c r="A10" t="str">
        <v>Rank</v>
      </c>
      <c r="B10">
        <v>1</v>
      </c>
      <c r="C10">
        <v>2</v>
      </c>
      <c r="D10">
        <v>3</v>
      </c>
      <c r="E10">
        <v>4</v>
      </c>
      <c r="F10">
        <v>5</v>
      </c>
    </row>
    <row r="11" spans="1:6">
      <c r="A11" t="str">
        <v>Population</v>
      </c>
      <c r="B11">
        <v>1439323880</v>
      </c>
      <c r="C11">
        <v>1345504385</v>
      </c>
      <c r="D11">
        <v>331955651</v>
      </c>
      <c r="E11">
        <v>273309615</v>
      </c>
      <c r="F11">
        <v>220892092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F91E-8CB0-43DE-84E1-007913A6F753}">
  <sheetPr codeName="Sheet10"/>
  <dimension ref="A1:F8"/>
  <sheetViews>
    <sheetView workbookViewId="0"/>
  </sheetViews>
  <sheetFormatPr defaultRowHeight="14.4"/>
  <cols>
    <col min="1" max="1" width="12.88671875" bestFit="1" customWidth="1"/>
    <col min="2" max="2" width="11.5546875" bestFit="1" customWidth="1"/>
    <col min="3" max="3" width="15.6640625" bestFit="1" customWidth="1"/>
    <col min="6" max="6" width="16.88671875" bestFit="1" customWidth="1"/>
  </cols>
  <sheetData>
    <row r="1" spans="1:6">
      <c r="A1" s="1" t="s">
        <v>81</v>
      </c>
      <c r="B1" s="1" t="s">
        <v>79</v>
      </c>
      <c r="C1" s="1" t="s">
        <v>80</v>
      </c>
      <c r="F1" s="9" t="s">
        <v>87</v>
      </c>
    </row>
    <row r="2" spans="1:6">
      <c r="A2" s="2" t="s">
        <v>107</v>
      </c>
      <c r="B2" s="2">
        <v>5</v>
      </c>
      <c r="C2" s="2">
        <v>18</v>
      </c>
      <c r="F2" s="7">
        <f t="array" ref="F2">SUM(B2:B7*C2:C7)</f>
        <v>927</v>
      </c>
    </row>
    <row r="3" spans="1:6">
      <c r="A3" s="2" t="s">
        <v>82</v>
      </c>
      <c r="B3" s="2">
        <v>8</v>
      </c>
      <c r="C3" s="2">
        <v>12</v>
      </c>
    </row>
    <row r="4" spans="1:6">
      <c r="A4" s="2" t="s">
        <v>83</v>
      </c>
      <c r="B4" s="2">
        <v>15</v>
      </c>
      <c r="C4" s="2">
        <v>8</v>
      </c>
    </row>
    <row r="5" spans="1:6">
      <c r="A5" s="2" t="s">
        <v>84</v>
      </c>
      <c r="B5" s="2">
        <v>10</v>
      </c>
      <c r="C5" s="2">
        <v>28</v>
      </c>
    </row>
    <row r="6" spans="1:6">
      <c r="A6" s="2" t="s">
        <v>85</v>
      </c>
      <c r="B6" s="2">
        <v>11</v>
      </c>
      <c r="C6" s="2">
        <v>13</v>
      </c>
    </row>
    <row r="7" spans="1:6">
      <c r="A7" s="2" t="s">
        <v>86</v>
      </c>
      <c r="B7" s="2">
        <v>9</v>
      </c>
      <c r="C7" s="2">
        <v>22</v>
      </c>
    </row>
    <row r="8" spans="1:6">
      <c r="D8" s="6"/>
      <c r="E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742A-97F9-425E-9650-13CA392CFF06}">
  <sheetPr codeName="Sheet11"/>
  <dimension ref="A1:C8"/>
  <sheetViews>
    <sheetView workbookViewId="0">
      <selection activeCell="F6" sqref="F6"/>
    </sheetView>
  </sheetViews>
  <sheetFormatPr defaultRowHeight="14.4"/>
  <cols>
    <col min="2" max="2" width="26.109375" bestFit="1" customWidth="1"/>
    <col min="3" max="3" width="25.88671875" bestFit="1" customWidth="1"/>
  </cols>
  <sheetData>
    <row r="1" spans="1:3">
      <c r="A1" s="1" t="s">
        <v>108</v>
      </c>
      <c r="B1" s="1" t="s">
        <v>116</v>
      </c>
      <c r="C1" s="1" t="s">
        <v>117</v>
      </c>
    </row>
    <row r="2" spans="1:3">
      <c r="A2" s="2" t="s">
        <v>109</v>
      </c>
      <c r="B2" s="2">
        <v>102</v>
      </c>
      <c r="C2" s="2">
        <v>79</v>
      </c>
    </row>
    <row r="3" spans="1:3">
      <c r="A3" s="2" t="s">
        <v>110</v>
      </c>
      <c r="B3" s="2" t="s">
        <v>118</v>
      </c>
      <c r="C3" s="2" t="s">
        <v>119</v>
      </c>
    </row>
    <row r="4" spans="1:3">
      <c r="A4" s="2" t="s">
        <v>111</v>
      </c>
      <c r="B4" s="2" t="s">
        <v>120</v>
      </c>
      <c r="C4" s="2" t="s">
        <v>121</v>
      </c>
    </row>
    <row r="5" spans="1:3">
      <c r="A5" s="2" t="s">
        <v>112</v>
      </c>
      <c r="B5" s="2" t="s">
        <v>120</v>
      </c>
      <c r="C5" s="2" t="s">
        <v>122</v>
      </c>
    </row>
    <row r="6" spans="1:3">
      <c r="A6" s="2" t="s">
        <v>113</v>
      </c>
      <c r="B6" s="2" t="s">
        <v>123</v>
      </c>
      <c r="C6" s="2" t="s">
        <v>124</v>
      </c>
    </row>
    <row r="7" spans="1:3">
      <c r="A7" s="2" t="s">
        <v>114</v>
      </c>
      <c r="B7" s="2" t="s">
        <v>125</v>
      </c>
      <c r="C7" s="2" t="s">
        <v>126</v>
      </c>
    </row>
    <row r="8" spans="1:3">
      <c r="A8" s="2" t="s">
        <v>115</v>
      </c>
      <c r="B8" s="2" t="s">
        <v>127</v>
      </c>
      <c r="C8" s="2" t="s">
        <v>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79A9-A162-408D-B537-AA3ACA728883}">
  <sheetPr codeName="Sheet12"/>
  <dimension ref="A1:D13"/>
  <sheetViews>
    <sheetView workbookViewId="0">
      <selection activeCell="H14" sqref="H14"/>
    </sheetView>
  </sheetViews>
  <sheetFormatPr defaultRowHeight="14.4"/>
  <cols>
    <col min="1" max="1" width="9.88671875" style="14" bestFit="1" customWidth="1"/>
    <col min="2" max="2" width="7.88671875" style="14" bestFit="1" customWidth="1"/>
    <col min="3" max="3" width="8.6640625" style="14" customWidth="1"/>
    <col min="4" max="4" width="8.88671875" style="14" bestFit="1" customWidth="1"/>
    <col min="5" max="5" width="8.6640625" customWidth="1"/>
  </cols>
  <sheetData>
    <row r="1" spans="1:4" ht="51.9" customHeight="1">
      <c r="A1" s="1" t="s">
        <v>32</v>
      </c>
      <c r="B1" s="8" t="s">
        <v>128</v>
      </c>
      <c r="C1" s="8" t="s">
        <v>61</v>
      </c>
      <c r="D1" s="8" t="s">
        <v>129</v>
      </c>
    </row>
    <row r="2" spans="1:4">
      <c r="A2" s="2" t="s">
        <v>47</v>
      </c>
      <c r="B2" s="2">
        <v>25000</v>
      </c>
      <c r="C2" s="2">
        <v>1500</v>
      </c>
      <c r="D2" s="18" t="s">
        <v>189</v>
      </c>
    </row>
    <row r="3" spans="1:4">
      <c r="A3" s="2" t="s">
        <v>48</v>
      </c>
      <c r="B3" s="2">
        <v>26500</v>
      </c>
      <c r="C3" s="2">
        <v>2500</v>
      </c>
      <c r="D3" s="18" t="s">
        <v>190</v>
      </c>
    </row>
    <row r="4" spans="1:4">
      <c r="A4" s="2" t="s">
        <v>49</v>
      </c>
      <c r="B4" s="2">
        <v>24890</v>
      </c>
      <c r="C4" s="2">
        <v>2000</v>
      </c>
      <c r="D4" s="18" t="s">
        <v>191</v>
      </c>
    </row>
    <row r="5" spans="1:4">
      <c r="A5" s="2" t="s">
        <v>50</v>
      </c>
      <c r="B5" s="2">
        <v>23750</v>
      </c>
      <c r="C5" s="2">
        <v>1800</v>
      </c>
      <c r="D5" s="18" t="s">
        <v>192</v>
      </c>
    </row>
    <row r="6" spans="1:4">
      <c r="A6" s="2" t="s">
        <v>51</v>
      </c>
      <c r="B6" s="2">
        <v>28900</v>
      </c>
      <c r="C6" s="2">
        <v>2600</v>
      </c>
      <c r="D6" s="18" t="s">
        <v>193</v>
      </c>
    </row>
    <row r="7" spans="1:4">
      <c r="A7" s="2" t="s">
        <v>52</v>
      </c>
      <c r="B7" s="2">
        <v>30000</v>
      </c>
      <c r="C7" s="2">
        <v>2650</v>
      </c>
      <c r="D7" s="18" t="s">
        <v>194</v>
      </c>
    </row>
    <row r="8" spans="1:4">
      <c r="A8" s="2" t="s">
        <v>53</v>
      </c>
      <c r="B8" s="2">
        <v>33500</v>
      </c>
      <c r="C8" s="2">
        <v>3500</v>
      </c>
      <c r="D8" s="18" t="s">
        <v>195</v>
      </c>
    </row>
    <row r="9" spans="1:4">
      <c r="A9" s="2" t="s">
        <v>54</v>
      </c>
      <c r="B9" s="2">
        <v>31650</v>
      </c>
      <c r="C9" s="2">
        <v>1000</v>
      </c>
      <c r="D9" s="18" t="s">
        <v>196</v>
      </c>
    </row>
    <row r="10" spans="1:4">
      <c r="A10" s="2" t="s">
        <v>55</v>
      </c>
      <c r="B10" s="2">
        <v>30200</v>
      </c>
      <c r="C10" s="2">
        <v>1240</v>
      </c>
      <c r="D10" s="18" t="s">
        <v>197</v>
      </c>
    </row>
    <row r="11" spans="1:4">
      <c r="A11" s="2" t="s">
        <v>56</v>
      </c>
      <c r="B11" s="2">
        <v>27350</v>
      </c>
      <c r="C11" s="2">
        <v>1100</v>
      </c>
      <c r="D11" s="18" t="s">
        <v>198</v>
      </c>
    </row>
    <row r="12" spans="1:4">
      <c r="A12" s="2" t="s">
        <v>57</v>
      </c>
      <c r="B12" s="2">
        <v>26930</v>
      </c>
      <c r="C12" s="2">
        <v>2900</v>
      </c>
      <c r="D12" s="18" t="s">
        <v>199</v>
      </c>
    </row>
    <row r="13" spans="1:4">
      <c r="A13" s="2" t="s">
        <v>58</v>
      </c>
      <c r="B13" s="2">
        <v>35550</v>
      </c>
      <c r="C13" s="2">
        <v>1900</v>
      </c>
      <c r="D13" s="18" t="s">
        <v>200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27DC-93BB-44B7-9C13-6EF96323DA85}">
  <sheetPr codeName="Sheet14"/>
  <dimension ref="A1:D6"/>
  <sheetViews>
    <sheetView showFormulas="1" workbookViewId="0">
      <selection activeCell="H14" sqref="H14"/>
    </sheetView>
  </sheetViews>
  <sheetFormatPr defaultRowHeight="14.4"/>
  <cols>
    <col min="3" max="3" width="12.109375" bestFit="1" customWidth="1"/>
    <col min="4" max="4" width="12.6640625" bestFit="1" customWidth="1"/>
  </cols>
  <sheetData>
    <row r="1" spans="1:4">
      <c r="A1" s="1" t="s">
        <v>130</v>
      </c>
      <c r="B1" s="1" t="s">
        <v>136</v>
      </c>
      <c r="C1" s="1" t="s">
        <v>137</v>
      </c>
      <c r="D1" s="1" t="s">
        <v>138</v>
      </c>
    </row>
    <row r="2" spans="1:4">
      <c r="A2" s="2" t="s">
        <v>131</v>
      </c>
      <c r="B2" s="2">
        <v>50</v>
      </c>
      <c r="C2" s="15">
        <v>0.1</v>
      </c>
      <c r="D2" s="7">
        <f>B2-(B2*C2)</f>
        <v>45</v>
      </c>
    </row>
    <row r="3" spans="1:4">
      <c r="A3" s="2" t="s">
        <v>132</v>
      </c>
      <c r="B3" s="2">
        <v>100</v>
      </c>
      <c r="C3" s="15">
        <v>0.12</v>
      </c>
      <c r="D3" s="7">
        <f>B3-(B3*C3)</f>
        <v>88</v>
      </c>
    </row>
    <row r="4" spans="1:4">
      <c r="A4" s="2" t="s">
        <v>133</v>
      </c>
      <c r="B4" s="2">
        <v>150</v>
      </c>
      <c r="C4" s="15">
        <v>0.05</v>
      </c>
      <c r="D4" s="7">
        <f>B4-(B4*C4)</f>
        <v>142.5</v>
      </c>
    </row>
    <row r="5" spans="1:4">
      <c r="A5" s="2" t="s">
        <v>134</v>
      </c>
      <c r="B5" s="2">
        <v>500</v>
      </c>
      <c r="C5" s="15">
        <v>0.15</v>
      </c>
      <c r="D5" s="7">
        <f>B5-(B5*C5)</f>
        <v>425</v>
      </c>
    </row>
    <row r="6" spans="1:4">
      <c r="A6" s="2" t="s">
        <v>135</v>
      </c>
      <c r="B6" s="2">
        <v>250</v>
      </c>
      <c r="C6" s="15">
        <v>0.02</v>
      </c>
      <c r="D6" s="7">
        <f>B6-(B6*C6)</f>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6F86-C264-41CA-AADD-C4A73F2D47FE}">
  <sheetPr codeName="Sheet15"/>
  <dimension ref="A1:E11"/>
  <sheetViews>
    <sheetView showFormulas="1" workbookViewId="0">
      <selection activeCell="H14" sqref="H14"/>
    </sheetView>
  </sheetViews>
  <sheetFormatPr defaultRowHeight="14.4"/>
  <cols>
    <col min="1" max="1" width="16.44140625" bestFit="1" customWidth="1"/>
    <col min="2" max="2" width="10.5546875" bestFit="1" customWidth="1"/>
    <col min="3" max="3" width="13.109375" bestFit="1" customWidth="1"/>
    <col min="4" max="4" width="10.5546875" bestFit="1" customWidth="1"/>
    <col min="5" max="5" width="14.88671875" bestFit="1" customWidth="1"/>
  </cols>
  <sheetData>
    <row r="1" spans="1:5">
      <c r="A1" s="1" t="s">
        <v>0</v>
      </c>
      <c r="B1" s="1" t="s">
        <v>152</v>
      </c>
      <c r="C1" s="1" t="s">
        <v>149</v>
      </c>
      <c r="D1" s="1" t="s">
        <v>150</v>
      </c>
      <c r="E1" s="1" t="s">
        <v>151</v>
      </c>
    </row>
    <row r="2" spans="1:5">
      <c r="A2" s="2" t="s">
        <v>139</v>
      </c>
      <c r="B2" s="2">
        <v>35</v>
      </c>
      <c r="C2" s="2">
        <v>25</v>
      </c>
      <c r="D2" s="2">
        <v>25</v>
      </c>
      <c r="E2" s="7">
        <f>SUM(B2:D2)</f>
        <v>85</v>
      </c>
    </row>
    <row r="3" spans="1:5">
      <c r="A3" s="2" t="s">
        <v>140</v>
      </c>
      <c r="B3" s="2">
        <v>40</v>
      </c>
      <c r="C3" s="2">
        <v>30</v>
      </c>
      <c r="D3" s="2">
        <v>30</v>
      </c>
      <c r="E3" s="7">
        <f t="shared" ref="E3:E11" si="0">SUM(B3:D3)</f>
        <v>100</v>
      </c>
    </row>
    <row r="4" spans="1:5">
      <c r="A4" s="2" t="s">
        <v>141</v>
      </c>
      <c r="B4" s="2">
        <v>40</v>
      </c>
      <c r="C4" s="2">
        <v>29</v>
      </c>
      <c r="D4" s="2">
        <v>29</v>
      </c>
      <c r="E4" s="7">
        <f t="shared" si="0"/>
        <v>98</v>
      </c>
    </row>
    <row r="5" spans="1:5">
      <c r="A5" s="2" t="s">
        <v>142</v>
      </c>
      <c r="B5" s="2">
        <v>38</v>
      </c>
      <c r="C5" s="2">
        <v>20</v>
      </c>
      <c r="D5" s="2">
        <v>25</v>
      </c>
      <c r="E5" s="7">
        <f t="shared" si="0"/>
        <v>83</v>
      </c>
    </row>
    <row r="6" spans="1:5">
      <c r="A6" s="2" t="s">
        <v>143</v>
      </c>
      <c r="B6" s="2">
        <v>39</v>
      </c>
      <c r="C6" s="2">
        <v>30</v>
      </c>
      <c r="D6" s="2">
        <v>30</v>
      </c>
      <c r="E6" s="7">
        <f t="shared" si="0"/>
        <v>99</v>
      </c>
    </row>
    <row r="7" spans="1:5">
      <c r="A7" s="2" t="s">
        <v>144</v>
      </c>
      <c r="B7" s="2">
        <v>33</v>
      </c>
      <c r="C7" s="2">
        <v>21</v>
      </c>
      <c r="D7" s="2">
        <v>15</v>
      </c>
      <c r="E7" s="7">
        <f t="shared" si="0"/>
        <v>69</v>
      </c>
    </row>
    <row r="8" spans="1:5">
      <c r="A8" s="2" t="s">
        <v>145</v>
      </c>
      <c r="B8" s="2">
        <v>40</v>
      </c>
      <c r="C8" s="2">
        <v>25</v>
      </c>
      <c r="D8" s="2">
        <v>29</v>
      </c>
      <c r="E8" s="7">
        <f t="shared" si="0"/>
        <v>94</v>
      </c>
    </row>
    <row r="9" spans="1:5">
      <c r="A9" s="2" t="s">
        <v>146</v>
      </c>
      <c r="B9" s="2">
        <v>34</v>
      </c>
      <c r="C9" s="2">
        <v>24</v>
      </c>
      <c r="D9" s="2">
        <v>28</v>
      </c>
      <c r="E9" s="7">
        <f t="shared" si="0"/>
        <v>86</v>
      </c>
    </row>
    <row r="10" spans="1:5">
      <c r="A10" s="2" t="s">
        <v>147</v>
      </c>
      <c r="B10" s="2">
        <v>37</v>
      </c>
      <c r="C10" s="2">
        <v>29</v>
      </c>
      <c r="D10" s="2">
        <v>30</v>
      </c>
      <c r="E10" s="7">
        <f t="shared" si="0"/>
        <v>96</v>
      </c>
    </row>
    <row r="11" spans="1:5">
      <c r="A11" s="2" t="s">
        <v>148</v>
      </c>
      <c r="B11" s="2">
        <v>31</v>
      </c>
      <c r="C11" s="2">
        <v>20</v>
      </c>
      <c r="D11" s="2">
        <v>20</v>
      </c>
      <c r="E11" s="7">
        <f t="shared" si="0"/>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2423-B0EC-44BA-9627-E0B500B0539B}">
  <sheetPr codeName="Sheet16"/>
  <dimension ref="A1:B16"/>
  <sheetViews>
    <sheetView showFormulas="1" workbookViewId="0">
      <selection activeCell="H14" sqref="H14"/>
    </sheetView>
  </sheetViews>
  <sheetFormatPr defaultRowHeight="14.4"/>
  <cols>
    <col min="2" max="2" width="13.5546875" customWidth="1"/>
  </cols>
  <sheetData>
    <row r="1" spans="1:2">
      <c r="A1" s="1" t="s">
        <v>153</v>
      </c>
      <c r="B1" s="1" t="s">
        <v>154</v>
      </c>
    </row>
    <row r="2" spans="1:2">
      <c r="A2" s="2">
        <v>1</v>
      </c>
      <c r="B2" s="7">
        <f>A2*A2</f>
        <v>1</v>
      </c>
    </row>
    <row r="3" spans="1:2">
      <c r="A3" s="2">
        <v>2</v>
      </c>
      <c r="B3" s="7">
        <f t="shared" ref="B3:B16" si="0">A3*A3</f>
        <v>4</v>
      </c>
    </row>
    <row r="4" spans="1:2">
      <c r="A4" s="2">
        <v>3</v>
      </c>
      <c r="B4" s="7">
        <f t="shared" si="0"/>
        <v>9</v>
      </c>
    </row>
    <row r="5" spans="1:2">
      <c r="A5" s="2">
        <v>4</v>
      </c>
      <c r="B5" s="7">
        <f t="shared" si="0"/>
        <v>16</v>
      </c>
    </row>
    <row r="6" spans="1:2">
      <c r="A6" s="2">
        <v>5</v>
      </c>
      <c r="B6" s="7">
        <f t="shared" si="0"/>
        <v>25</v>
      </c>
    </row>
    <row r="7" spans="1:2">
      <c r="A7" s="2">
        <v>6</v>
      </c>
      <c r="B7" s="7">
        <f t="shared" si="0"/>
        <v>36</v>
      </c>
    </row>
    <row r="8" spans="1:2">
      <c r="A8" s="2">
        <v>7</v>
      </c>
      <c r="B8" s="7">
        <f t="shared" si="0"/>
        <v>49</v>
      </c>
    </row>
    <row r="9" spans="1:2">
      <c r="A9" s="2">
        <v>8</v>
      </c>
      <c r="B9" s="7">
        <f t="shared" si="0"/>
        <v>64</v>
      </c>
    </row>
    <row r="10" spans="1:2">
      <c r="A10" s="2">
        <v>9</v>
      </c>
      <c r="B10" s="7">
        <f t="shared" si="0"/>
        <v>81</v>
      </c>
    </row>
    <row r="11" spans="1:2">
      <c r="A11" s="2">
        <v>10</v>
      </c>
      <c r="B11" s="7">
        <f t="shared" si="0"/>
        <v>100</v>
      </c>
    </row>
    <row r="12" spans="1:2">
      <c r="A12" s="2">
        <v>11</v>
      </c>
      <c r="B12" s="7">
        <f t="shared" si="0"/>
        <v>121</v>
      </c>
    </row>
    <row r="13" spans="1:2">
      <c r="A13" s="2">
        <v>12</v>
      </c>
      <c r="B13" s="7">
        <f t="shared" si="0"/>
        <v>144</v>
      </c>
    </row>
    <row r="14" spans="1:2">
      <c r="A14" s="2">
        <v>13</v>
      </c>
      <c r="B14" s="7">
        <f t="shared" si="0"/>
        <v>169</v>
      </c>
    </row>
    <row r="15" spans="1:2">
      <c r="A15" s="2">
        <v>14</v>
      </c>
      <c r="B15" s="7">
        <f t="shared" si="0"/>
        <v>196</v>
      </c>
    </row>
    <row r="16" spans="1:2">
      <c r="A16" s="2">
        <v>15</v>
      </c>
      <c r="B16" s="7">
        <f t="shared" si="0"/>
        <v>225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6983-068E-46B7-984F-023952101FF2}">
  <sheetPr codeName="Sheet17"/>
  <dimension ref="A1:D11"/>
  <sheetViews>
    <sheetView workbookViewId="0">
      <selection activeCell="D2" sqref="D2"/>
    </sheetView>
  </sheetViews>
  <sheetFormatPr defaultRowHeight="14.4"/>
  <cols>
    <col min="1" max="1" width="17.5546875" bestFit="1" customWidth="1"/>
    <col min="2" max="2" width="11.33203125" bestFit="1" customWidth="1"/>
    <col min="3" max="3" width="11.5546875" bestFit="1" customWidth="1"/>
    <col min="4" max="4" width="13.44140625" bestFit="1" customWidth="1"/>
  </cols>
  <sheetData>
    <row r="1" spans="1:4">
      <c r="A1" s="1" t="s">
        <v>155</v>
      </c>
      <c r="B1" s="1" t="s">
        <v>156</v>
      </c>
      <c r="C1" s="1" t="s">
        <v>157</v>
      </c>
      <c r="D1" s="1" t="s">
        <v>158</v>
      </c>
    </row>
    <row r="2" spans="1:4">
      <c r="A2" s="2" t="s">
        <v>159</v>
      </c>
      <c r="B2" s="2" t="s">
        <v>169</v>
      </c>
      <c r="C2" s="2" t="s">
        <v>179</v>
      </c>
      <c r="D2" s="17" t="str">
        <f>CONCATENATE(B2,"_",C2)</f>
        <v>NDD091_S10</v>
      </c>
    </row>
    <row r="3" spans="1:4">
      <c r="A3" s="2" t="s">
        <v>160</v>
      </c>
      <c r="B3" s="2" t="s">
        <v>170</v>
      </c>
      <c r="C3" s="2" t="s">
        <v>180</v>
      </c>
      <c r="D3" s="16" t="str">
        <f t="shared" ref="D3:D11" si="0">CONCATENATE(B3,"_",C3)</f>
        <v>NDD092_S20</v>
      </c>
    </row>
    <row r="4" spans="1:4">
      <c r="A4" s="2" t="s">
        <v>161</v>
      </c>
      <c r="B4" s="2" t="s">
        <v>171</v>
      </c>
      <c r="C4" s="2" t="s">
        <v>181</v>
      </c>
      <c r="D4" s="16" t="str">
        <f t="shared" si="0"/>
        <v>NDD093_S25</v>
      </c>
    </row>
    <row r="5" spans="1:4">
      <c r="A5" s="2" t="s">
        <v>162</v>
      </c>
      <c r="B5" s="2" t="s">
        <v>172</v>
      </c>
      <c r="C5" s="2" t="s">
        <v>182</v>
      </c>
      <c r="D5" s="16" t="str">
        <f t="shared" si="0"/>
        <v>NDD094_S33</v>
      </c>
    </row>
    <row r="6" spans="1:4">
      <c r="A6" s="2" t="s">
        <v>163</v>
      </c>
      <c r="B6" s="2" t="s">
        <v>173</v>
      </c>
      <c r="C6" s="2" t="s">
        <v>183</v>
      </c>
      <c r="D6" s="16" t="str">
        <f t="shared" si="0"/>
        <v>NDD095_S42</v>
      </c>
    </row>
    <row r="7" spans="1:4">
      <c r="A7" s="2" t="s">
        <v>164</v>
      </c>
      <c r="B7" s="2" t="s">
        <v>174</v>
      </c>
      <c r="C7" s="2" t="s">
        <v>184</v>
      </c>
      <c r="D7" s="16" t="str">
        <f t="shared" si="0"/>
        <v>NDD096_S53</v>
      </c>
    </row>
    <row r="8" spans="1:4">
      <c r="A8" s="2" t="s">
        <v>165</v>
      </c>
      <c r="B8" s="2" t="s">
        <v>175</v>
      </c>
      <c r="C8" s="2" t="s">
        <v>185</v>
      </c>
      <c r="D8" s="16" t="str">
        <f t="shared" si="0"/>
        <v>NDD097_S55</v>
      </c>
    </row>
    <row r="9" spans="1:4">
      <c r="A9" s="2" t="s">
        <v>166</v>
      </c>
      <c r="B9" s="2" t="s">
        <v>176</v>
      </c>
      <c r="C9" s="2" t="s">
        <v>186</v>
      </c>
      <c r="D9" s="16" t="str">
        <f t="shared" si="0"/>
        <v>NDD098_S64</v>
      </c>
    </row>
    <row r="10" spans="1:4">
      <c r="A10" s="2" t="s">
        <v>167</v>
      </c>
      <c r="B10" s="2" t="s">
        <v>177</v>
      </c>
      <c r="C10" s="2" t="s">
        <v>188</v>
      </c>
      <c r="D10" s="16" t="str">
        <f t="shared" si="0"/>
        <v>NDD099_S88</v>
      </c>
    </row>
    <row r="11" spans="1:4">
      <c r="A11" s="2" t="s">
        <v>168</v>
      </c>
      <c r="B11" s="2" t="s">
        <v>178</v>
      </c>
      <c r="C11" s="2" t="s">
        <v>187</v>
      </c>
      <c r="D11" s="16" t="str">
        <f t="shared" si="0"/>
        <v>NDD100_S92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F243-AB48-4F2D-8E7D-EA8E64F320AE}">
  <sheetPr codeName="Sheet18"/>
  <dimension ref="A1:D6"/>
  <sheetViews>
    <sheetView view="pageLayout" zoomScaleNormal="100" workbookViewId="0">
      <selection activeCell="A16" sqref="A16"/>
    </sheetView>
  </sheetViews>
  <sheetFormatPr defaultRowHeight="14.4"/>
  <cols>
    <col min="1" max="1" width="28.88671875" bestFit="1" customWidth="1"/>
    <col min="2" max="2" width="16.5546875" bestFit="1" customWidth="1"/>
    <col min="3" max="3" width="17.6640625" bestFit="1" customWidth="1"/>
    <col min="4" max="4" width="15.5546875" bestFit="1" customWidth="1"/>
  </cols>
  <sheetData>
    <row r="1" spans="1:4">
      <c r="A1" s="1" t="s">
        <v>201</v>
      </c>
      <c r="B1" s="1" t="s">
        <v>202</v>
      </c>
      <c r="C1" s="1" t="s">
        <v>203</v>
      </c>
      <c r="D1" s="1" t="s">
        <v>204</v>
      </c>
    </row>
    <row r="2" spans="1:4">
      <c r="A2" s="19" t="s">
        <v>207</v>
      </c>
      <c r="B2" s="2">
        <v>25000</v>
      </c>
      <c r="C2" s="2">
        <v>25500</v>
      </c>
      <c r="D2" s="2">
        <v>26000</v>
      </c>
    </row>
    <row r="3" spans="1:4">
      <c r="A3" s="19" t="s">
        <v>205</v>
      </c>
      <c r="B3" s="2">
        <v>23000</v>
      </c>
      <c r="C3" s="2">
        <v>24000</v>
      </c>
      <c r="D3" s="2">
        <v>25000</v>
      </c>
    </row>
    <row r="4" spans="1:4">
      <c r="A4" s="19" t="s">
        <v>208</v>
      </c>
      <c r="B4" s="2">
        <v>22000</v>
      </c>
      <c r="C4" s="2">
        <v>22300</v>
      </c>
      <c r="D4" s="2">
        <v>23000</v>
      </c>
    </row>
    <row r="5" spans="1:4">
      <c r="A5" s="19" t="s">
        <v>206</v>
      </c>
      <c r="B5" s="2">
        <v>20000</v>
      </c>
      <c r="C5" s="2">
        <v>21000</v>
      </c>
      <c r="D5" s="2">
        <v>22500</v>
      </c>
    </row>
    <row r="6" spans="1:4">
      <c r="A6" s="19" t="s">
        <v>209</v>
      </c>
      <c r="B6" s="2">
        <v>19000</v>
      </c>
      <c r="C6" s="2">
        <v>22000</v>
      </c>
      <c r="D6" s="2">
        <v>23000</v>
      </c>
    </row>
  </sheetData>
  <pageMargins left="0.7" right="0.7" top="0.75" bottom="0.75" header="0.3" footer="0.3"/>
  <pageSetup orientation="portrait" r:id="rId1"/>
  <headerFooter>
    <oddHeader>&amp;C&amp;"-,Bold"Monthly Sales Report</oddHeader>
    <oddFooter>&amp;L&amp;B Confidential&amp;B&amp;C&amp;D&amp;RPage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1734-E0DB-4703-8BEA-8C6140F7B50D}">
  <sheetPr codeName="Sheet19"/>
  <dimension ref="A1:B11"/>
  <sheetViews>
    <sheetView view="pageLayout" zoomScaleNormal="100" workbookViewId="0">
      <selection activeCell="A16" sqref="A16"/>
    </sheetView>
  </sheetViews>
  <sheetFormatPr defaultRowHeight="14.4"/>
  <cols>
    <col min="2" max="2" width="9.109375" bestFit="1" customWidth="1"/>
  </cols>
  <sheetData>
    <row r="1" spans="1:2">
      <c r="A1" s="1" t="s">
        <v>130</v>
      </c>
      <c r="B1" s="1" t="s">
        <v>210</v>
      </c>
    </row>
    <row r="2" spans="1:2">
      <c r="A2" s="19" t="s">
        <v>131</v>
      </c>
      <c r="B2" s="19">
        <v>100000</v>
      </c>
    </row>
    <row r="3" spans="1:2">
      <c r="A3" s="19" t="s">
        <v>132</v>
      </c>
      <c r="B3" s="19">
        <v>130000</v>
      </c>
    </row>
    <row r="4" spans="1:2">
      <c r="A4" s="19" t="s">
        <v>133</v>
      </c>
      <c r="B4" s="19">
        <v>90000</v>
      </c>
    </row>
    <row r="5" spans="1:2">
      <c r="A5" s="19" t="s">
        <v>134</v>
      </c>
      <c r="B5" s="19">
        <v>210000</v>
      </c>
    </row>
    <row r="6" spans="1:2">
      <c r="A6" s="19" t="s">
        <v>135</v>
      </c>
      <c r="B6" s="19">
        <v>150000</v>
      </c>
    </row>
    <row r="7" spans="1:2">
      <c r="A7" s="19" t="s">
        <v>211</v>
      </c>
      <c r="B7" s="19">
        <v>200000</v>
      </c>
    </row>
    <row r="8" spans="1:2">
      <c r="A8" s="19" t="s">
        <v>212</v>
      </c>
      <c r="B8" s="19">
        <v>235000</v>
      </c>
    </row>
    <row r="9" spans="1:2">
      <c r="A9" s="19" t="s">
        <v>213</v>
      </c>
      <c r="B9" s="19">
        <v>250000</v>
      </c>
    </row>
    <row r="10" spans="1:2">
      <c r="A10" s="19" t="s">
        <v>214</v>
      </c>
      <c r="B10" s="19">
        <v>264000</v>
      </c>
    </row>
    <row r="11" spans="1:2">
      <c r="A11" s="19" t="s">
        <v>215</v>
      </c>
      <c r="B11" s="19">
        <v>310000</v>
      </c>
    </row>
  </sheetData>
  <pageMargins left="0.7" right="0.7" top="0.75" bottom="0.75" header="0.3" footer="0.3"/>
  <pageSetup orientation="portrait" r:id="rId1"/>
  <headerFooter>
    <oddHeader>&amp;CUnits Sold &amp;P</oddHeader>
    <oddFooter>&amp;L&amp;N&amp;R&amp;D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5E53-9EA2-4E88-A421-B031BF34F3BA}">
  <sheetPr codeName="Sheet20"/>
  <dimension ref="A1:D11"/>
  <sheetViews>
    <sheetView view="pageLayout" zoomScaleNormal="100" workbookViewId="0">
      <selection activeCell="A16" sqref="A16"/>
    </sheetView>
  </sheetViews>
  <sheetFormatPr defaultRowHeight="14.4"/>
  <cols>
    <col min="1" max="1" width="16.109375" bestFit="1" customWidth="1"/>
    <col min="3" max="3" width="9.109375" bestFit="1" customWidth="1"/>
    <col min="4" max="4" width="11.44140625" bestFit="1" customWidth="1"/>
  </cols>
  <sheetData>
    <row r="1" spans="1:4">
      <c r="A1" s="1" t="s">
        <v>0</v>
      </c>
      <c r="B1" s="1" t="s">
        <v>1</v>
      </c>
      <c r="C1" s="1" t="s">
        <v>226</v>
      </c>
      <c r="D1" s="1" t="s">
        <v>227</v>
      </c>
    </row>
    <row r="2" spans="1:4">
      <c r="A2" s="19" t="s">
        <v>216</v>
      </c>
      <c r="B2" s="2">
        <v>9</v>
      </c>
      <c r="C2" s="2">
        <v>95</v>
      </c>
      <c r="D2" s="2">
        <v>3</v>
      </c>
    </row>
    <row r="3" spans="1:4">
      <c r="A3" s="19" t="s">
        <v>217</v>
      </c>
      <c r="B3" s="2">
        <v>9</v>
      </c>
      <c r="C3" s="2">
        <v>98</v>
      </c>
      <c r="D3" s="2">
        <v>1</v>
      </c>
    </row>
    <row r="4" spans="1:4">
      <c r="A4" s="19" t="s">
        <v>218</v>
      </c>
      <c r="B4" s="2">
        <v>9</v>
      </c>
      <c r="C4" s="2">
        <v>93</v>
      </c>
      <c r="D4" s="2">
        <v>5</v>
      </c>
    </row>
    <row r="5" spans="1:4">
      <c r="A5" s="19" t="s">
        <v>219</v>
      </c>
      <c r="B5" s="2">
        <v>9</v>
      </c>
      <c r="C5" s="2">
        <v>85</v>
      </c>
      <c r="D5" s="2">
        <v>8</v>
      </c>
    </row>
    <row r="6" spans="1:4">
      <c r="A6" s="19" t="s">
        <v>220</v>
      </c>
      <c r="B6" s="2">
        <v>9</v>
      </c>
      <c r="C6" s="2">
        <v>88</v>
      </c>
      <c r="D6" s="2">
        <v>7</v>
      </c>
    </row>
    <row r="7" spans="1:4">
      <c r="A7" s="19" t="s">
        <v>221</v>
      </c>
      <c r="B7" s="2">
        <v>9</v>
      </c>
      <c r="C7" s="2">
        <v>81</v>
      </c>
      <c r="D7" s="2">
        <v>9</v>
      </c>
    </row>
    <row r="8" spans="1:4">
      <c r="A8" s="19" t="s">
        <v>222</v>
      </c>
      <c r="B8" s="2">
        <v>9</v>
      </c>
      <c r="C8" s="2">
        <v>75</v>
      </c>
      <c r="D8" s="2">
        <v>10</v>
      </c>
    </row>
    <row r="9" spans="1:4">
      <c r="A9" s="19" t="s">
        <v>223</v>
      </c>
      <c r="B9" s="2">
        <v>9</v>
      </c>
      <c r="C9" s="2">
        <v>94</v>
      </c>
      <c r="D9" s="2">
        <v>4</v>
      </c>
    </row>
    <row r="10" spans="1:4">
      <c r="A10" s="19" t="s">
        <v>224</v>
      </c>
      <c r="B10" s="2">
        <v>9</v>
      </c>
      <c r="C10" s="2">
        <v>96</v>
      </c>
      <c r="D10" s="2">
        <v>2</v>
      </c>
    </row>
    <row r="11" spans="1:4">
      <c r="A11" s="19" t="s">
        <v>225</v>
      </c>
      <c r="B11" s="2">
        <v>9</v>
      </c>
      <c r="C11" s="2">
        <v>89</v>
      </c>
      <c r="D11" s="2">
        <v>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E73D-B4EE-43CB-A84C-C2AC2B69C47C}">
  <sheetPr codeName="Sheet21"/>
  <dimension ref="A1:C6"/>
  <sheetViews>
    <sheetView view="pageLayout" zoomScaleNormal="100" workbookViewId="0">
      <selection activeCell="A16" sqref="A16"/>
    </sheetView>
  </sheetViews>
  <sheetFormatPr defaultRowHeight="14.4"/>
  <cols>
    <col min="1" max="1" width="13.109375" bestFit="1" customWidth="1"/>
    <col min="2" max="2" width="9.44140625" bestFit="1" customWidth="1"/>
    <col min="3" max="3" width="13.44140625" bestFit="1" customWidth="1"/>
  </cols>
  <sheetData>
    <row r="1" spans="1:3">
      <c r="A1" s="1" t="s">
        <v>228</v>
      </c>
      <c r="B1" s="1" t="s">
        <v>229</v>
      </c>
      <c r="C1" s="1" t="s">
        <v>230</v>
      </c>
    </row>
    <row r="2" spans="1:3">
      <c r="A2" s="2">
        <v>1</v>
      </c>
      <c r="B2" s="2" t="s">
        <v>231</v>
      </c>
      <c r="C2" s="20">
        <v>44237</v>
      </c>
    </row>
    <row r="3" spans="1:3">
      <c r="A3" s="2">
        <v>2</v>
      </c>
      <c r="B3" s="2" t="s">
        <v>232</v>
      </c>
      <c r="C3" s="20">
        <v>44241</v>
      </c>
    </row>
    <row r="4" spans="1:3">
      <c r="A4" s="2">
        <v>3</v>
      </c>
      <c r="B4" s="2" t="s">
        <v>233</v>
      </c>
      <c r="C4" s="20">
        <v>44244</v>
      </c>
    </row>
    <row r="5" spans="1:3">
      <c r="A5" s="2">
        <v>4</v>
      </c>
      <c r="B5" s="2" t="s">
        <v>234</v>
      </c>
      <c r="C5" s="20">
        <v>44250</v>
      </c>
    </row>
    <row r="6" spans="1:3">
      <c r="A6" s="2">
        <v>5</v>
      </c>
      <c r="B6" s="2" t="s">
        <v>235</v>
      </c>
      <c r="C6" s="20">
        <v>44254</v>
      </c>
    </row>
  </sheetData>
  <pageMargins left="0.7" right="0.7" top="0.75" bottom="0.75" header="0.3" footer="0.3"/>
  <pageSetup orientation="portrait" r:id="rId1"/>
  <headerFooter>
    <oddHeader>&amp;C&amp;A_&amp;P</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883-C25F-4426-8E7E-2B0F32999484}">
  <sheetPr codeName="Sheet22"/>
  <dimension ref="A1:G10"/>
  <sheetViews>
    <sheetView view="pageLayout" zoomScaleNormal="100" workbookViewId="0">
      <selection activeCell="A16" sqref="A16"/>
    </sheetView>
  </sheetViews>
  <sheetFormatPr defaultRowHeight="14.4"/>
  <cols>
    <col min="1" max="1" width="16.44140625" bestFit="1" customWidth="1"/>
    <col min="2" max="2" width="58.44140625" bestFit="1" customWidth="1"/>
    <col min="3" max="3" width="14.6640625" bestFit="1" customWidth="1"/>
    <col min="4" max="4" width="13.5546875" bestFit="1" customWidth="1"/>
    <col min="5" max="5" width="11.33203125" bestFit="1" customWidth="1"/>
    <col min="6" max="6" width="13.6640625" bestFit="1" customWidth="1"/>
    <col min="7" max="7" width="14.5546875" bestFit="1" customWidth="1"/>
  </cols>
  <sheetData>
    <row r="1" spans="1:7">
      <c r="A1" s="1" t="s">
        <v>240</v>
      </c>
      <c r="B1" s="1" t="s">
        <v>236</v>
      </c>
      <c r="C1" s="1" t="s">
        <v>237</v>
      </c>
      <c r="D1" s="1" t="s">
        <v>238</v>
      </c>
      <c r="E1" s="1" t="s">
        <v>156</v>
      </c>
      <c r="F1" s="1" t="s">
        <v>158</v>
      </c>
      <c r="G1" s="1" t="s">
        <v>239</v>
      </c>
    </row>
    <row r="2" spans="1:7">
      <c r="A2" s="2" t="s">
        <v>241</v>
      </c>
      <c r="B2" s="2" t="s">
        <v>250</v>
      </c>
      <c r="C2" s="2" t="s">
        <v>259</v>
      </c>
      <c r="D2" s="20">
        <v>44265</v>
      </c>
      <c r="E2" s="2" t="s">
        <v>268</v>
      </c>
      <c r="F2" s="2" t="s">
        <v>277</v>
      </c>
      <c r="G2" s="2" t="s">
        <v>286</v>
      </c>
    </row>
    <row r="3" spans="1:7">
      <c r="A3" s="2" t="s">
        <v>242</v>
      </c>
      <c r="B3" s="2" t="s">
        <v>251</v>
      </c>
      <c r="C3" s="2" t="s">
        <v>260</v>
      </c>
      <c r="D3" s="20">
        <v>44290</v>
      </c>
      <c r="E3" s="2" t="s">
        <v>270</v>
      </c>
      <c r="F3" s="2" t="s">
        <v>278</v>
      </c>
      <c r="G3" s="2" t="s">
        <v>287</v>
      </c>
    </row>
    <row r="4" spans="1:7">
      <c r="A4" s="2" t="s">
        <v>243</v>
      </c>
      <c r="B4" s="2" t="s">
        <v>252</v>
      </c>
      <c r="C4" s="2" t="s">
        <v>261</v>
      </c>
      <c r="D4" s="20">
        <v>44306</v>
      </c>
      <c r="E4" s="2" t="s">
        <v>275</v>
      </c>
      <c r="F4" s="2" t="s">
        <v>279</v>
      </c>
      <c r="G4" s="2" t="s">
        <v>287</v>
      </c>
    </row>
    <row r="5" spans="1:7">
      <c r="A5" s="2" t="s">
        <v>244</v>
      </c>
      <c r="B5" s="2" t="s">
        <v>253</v>
      </c>
      <c r="C5" s="2" t="s">
        <v>262</v>
      </c>
      <c r="D5" s="20">
        <v>44311</v>
      </c>
      <c r="E5" s="2" t="s">
        <v>272</v>
      </c>
      <c r="F5" s="2" t="s">
        <v>280</v>
      </c>
      <c r="G5" s="2" t="s">
        <v>286</v>
      </c>
    </row>
    <row r="6" spans="1:7">
      <c r="A6" s="2" t="s">
        <v>245</v>
      </c>
      <c r="B6" s="2" t="s">
        <v>254</v>
      </c>
      <c r="C6" s="2" t="s">
        <v>263</v>
      </c>
      <c r="D6" s="20">
        <v>44326</v>
      </c>
      <c r="E6" s="2" t="s">
        <v>274</v>
      </c>
      <c r="F6" s="2" t="s">
        <v>281</v>
      </c>
      <c r="G6" s="2" t="s">
        <v>286</v>
      </c>
    </row>
    <row r="7" spans="1:7">
      <c r="A7" s="2" t="s">
        <v>246</v>
      </c>
      <c r="B7" s="2" t="s">
        <v>255</v>
      </c>
      <c r="C7" s="2" t="s">
        <v>264</v>
      </c>
      <c r="D7" s="20">
        <v>44340</v>
      </c>
      <c r="E7" s="2" t="s">
        <v>271</v>
      </c>
      <c r="F7" s="2" t="s">
        <v>282</v>
      </c>
      <c r="G7" s="2" t="s">
        <v>287</v>
      </c>
    </row>
    <row r="8" spans="1:7">
      <c r="A8" s="2" t="s">
        <v>247</v>
      </c>
      <c r="B8" s="2" t="s">
        <v>256</v>
      </c>
      <c r="C8" s="2" t="s">
        <v>265</v>
      </c>
      <c r="D8" s="20">
        <v>44363</v>
      </c>
      <c r="E8" s="2" t="s">
        <v>269</v>
      </c>
      <c r="F8" s="2" t="s">
        <v>283</v>
      </c>
      <c r="G8" s="2" t="s">
        <v>287</v>
      </c>
    </row>
    <row r="9" spans="1:7">
      <c r="A9" s="2" t="s">
        <v>248</v>
      </c>
      <c r="B9" s="2" t="s">
        <v>257</v>
      </c>
      <c r="C9" s="2" t="s">
        <v>266</v>
      </c>
      <c r="D9" s="20">
        <v>44377</v>
      </c>
      <c r="E9" s="2" t="s">
        <v>273</v>
      </c>
      <c r="F9" s="2" t="s">
        <v>284</v>
      </c>
      <c r="G9" s="2" t="s">
        <v>287</v>
      </c>
    </row>
    <row r="10" spans="1:7">
      <c r="A10" s="2" t="s">
        <v>249</v>
      </c>
      <c r="B10" s="2" t="s">
        <v>258</v>
      </c>
      <c r="C10" s="2" t="s">
        <v>267</v>
      </c>
      <c r="D10" s="20">
        <v>44405</v>
      </c>
      <c r="E10" s="2" t="s">
        <v>276</v>
      </c>
      <c r="F10" s="2" t="s">
        <v>285</v>
      </c>
      <c r="G10" s="2" t="s">
        <v>286</v>
      </c>
    </row>
  </sheetData>
  <pageMargins left="0.7" right="0.7" top="0.75" bottom="0.75" header="0.3" footer="0.3"/>
  <pageSetup orientation="portrait" r:id="rId1"/>
  <headerFooter>
    <oddFooter>&amp;R&amp;P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AEC0-E3FE-4442-ADDC-4DEBF7A6F0AB}">
  <sheetPr codeName="Sheet23"/>
  <dimension ref="A1:B4"/>
  <sheetViews>
    <sheetView view="pageLayout" zoomScaleNormal="100" workbookViewId="0"/>
  </sheetViews>
  <sheetFormatPr defaultRowHeight="14.4"/>
  <cols>
    <col min="1" max="1" width="9.88671875" bestFit="1" customWidth="1"/>
    <col min="2" max="2" width="8.5546875" customWidth="1"/>
  </cols>
  <sheetData>
    <row r="1" spans="1:2">
      <c r="A1" s="1" t="s">
        <v>97</v>
      </c>
      <c r="B1" s="1" t="s">
        <v>288</v>
      </c>
    </row>
    <row r="2" spans="1:2">
      <c r="A2" s="2" t="s">
        <v>98</v>
      </c>
      <c r="B2" s="2">
        <v>75</v>
      </c>
    </row>
    <row r="3" spans="1:2">
      <c r="A3" s="2" t="s">
        <v>99</v>
      </c>
      <c r="B3" s="2">
        <v>98</v>
      </c>
    </row>
    <row r="4" spans="1:2">
      <c r="A4" s="2" t="s">
        <v>100</v>
      </c>
      <c r="B4" s="2">
        <v>90</v>
      </c>
    </row>
  </sheetData>
  <pageMargins left="0.7" right="0.7" top="0.75" bottom="0.75" header="0.3" footer="0.3"/>
  <pageSetup orientation="portrait" r:id="rId1"/>
  <headerFooter>
    <oddHeader>&amp;CSocial Science Score</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EA4-920A-45A2-9FC5-D1B227CBF2E4}">
  <sheetPr codeName="Sheet24"/>
  <dimension ref="A1:B7"/>
  <sheetViews>
    <sheetView workbookViewId="0">
      <selection activeCell="M11" sqref="M11"/>
    </sheetView>
  </sheetViews>
  <sheetFormatPr defaultRowHeight="14.4"/>
  <cols>
    <col min="2" max="2" width="11.44140625" bestFit="1" customWidth="1"/>
  </cols>
  <sheetData>
    <row r="1" spans="1:2">
      <c r="A1" s="1" t="s">
        <v>32</v>
      </c>
      <c r="B1" s="1" t="s">
        <v>289</v>
      </c>
    </row>
    <row r="2" spans="1:2">
      <c r="A2" s="2" t="s">
        <v>47</v>
      </c>
      <c r="B2" s="2">
        <v>1000000</v>
      </c>
    </row>
    <row r="3" spans="1:2">
      <c r="A3" s="2" t="s">
        <v>48</v>
      </c>
      <c r="B3" s="2">
        <v>1500000</v>
      </c>
    </row>
    <row r="4" spans="1:2">
      <c r="A4" s="2" t="s">
        <v>49</v>
      </c>
      <c r="B4" s="2">
        <v>-500000</v>
      </c>
    </row>
    <row r="5" spans="1:2">
      <c r="A5" s="2" t="s">
        <v>50</v>
      </c>
      <c r="B5" s="2">
        <v>1600000</v>
      </c>
    </row>
    <row r="6" spans="1:2">
      <c r="A6" s="2" t="s">
        <v>51</v>
      </c>
      <c r="B6" s="21">
        <v>-600000</v>
      </c>
    </row>
    <row r="7" spans="1:2">
      <c r="A7" s="2" t="s">
        <v>52</v>
      </c>
      <c r="B7" s="2">
        <v>3000000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13270-AC03-4597-A1C3-9AF49D776A08}">
  <sheetPr codeName="Sheet25"/>
  <dimension ref="A1:B8"/>
  <sheetViews>
    <sheetView workbookViewId="0">
      <selection activeCell="M11" sqref="M11"/>
    </sheetView>
  </sheetViews>
  <sheetFormatPr defaultRowHeight="14.4"/>
  <cols>
    <col min="1" max="1" width="20.33203125" customWidth="1"/>
    <col min="2" max="2" width="11.44140625" bestFit="1" customWidth="1"/>
  </cols>
  <sheetData>
    <row r="1" spans="1:2" ht="43.2">
      <c r="A1" s="8" t="s">
        <v>290</v>
      </c>
      <c r="B1" s="1" t="s">
        <v>289</v>
      </c>
    </row>
    <row r="2" spans="1:2">
      <c r="A2" s="2" t="s">
        <v>292</v>
      </c>
      <c r="B2" s="2">
        <v>50000</v>
      </c>
    </row>
    <row r="3" spans="1:2">
      <c r="A3" s="2" t="s">
        <v>293</v>
      </c>
      <c r="B3" s="2">
        <v>700</v>
      </c>
    </row>
    <row r="4" spans="1:2">
      <c r="A4" s="2" t="s">
        <v>294</v>
      </c>
      <c r="B4" s="2">
        <v>450</v>
      </c>
    </row>
    <row r="5" spans="1:2">
      <c r="A5" s="2" t="s">
        <v>295</v>
      </c>
      <c r="B5" s="2">
        <v>100</v>
      </c>
    </row>
    <row r="6" spans="1:2">
      <c r="A6" s="2" t="s">
        <v>296</v>
      </c>
      <c r="B6" s="2">
        <v>-50</v>
      </c>
    </row>
    <row r="7" spans="1:2">
      <c r="A7" s="2" t="s">
        <v>297</v>
      </c>
      <c r="B7" s="2">
        <v>-300</v>
      </c>
    </row>
    <row r="8" spans="1:2">
      <c r="A8" s="2" t="s">
        <v>291</v>
      </c>
      <c r="B8" s="2">
        <v>50900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6856-EFE1-4010-83C4-BBB20B7D027B}">
  <sheetPr codeName="Sheet26"/>
  <dimension ref="A1:B7"/>
  <sheetViews>
    <sheetView workbookViewId="0">
      <selection activeCell="M11" sqref="M11"/>
    </sheetView>
  </sheetViews>
  <sheetFormatPr defaultRowHeight="14.4"/>
  <cols>
    <col min="1" max="1" width="23" bestFit="1" customWidth="1"/>
    <col min="2" max="2" width="11.44140625" bestFit="1" customWidth="1"/>
  </cols>
  <sheetData>
    <row r="1" spans="1:2">
      <c r="A1" s="1" t="s">
        <v>298</v>
      </c>
      <c r="B1" s="1" t="s">
        <v>289</v>
      </c>
    </row>
    <row r="2" spans="1:2">
      <c r="A2" s="2" t="s">
        <v>299</v>
      </c>
      <c r="B2" s="2">
        <v>40000</v>
      </c>
    </row>
    <row r="3" spans="1:2">
      <c r="A3" s="2" t="s">
        <v>300</v>
      </c>
      <c r="B3" s="2">
        <v>-5000</v>
      </c>
    </row>
    <row r="4" spans="1:2">
      <c r="A4" s="2" t="s">
        <v>304</v>
      </c>
      <c r="B4" s="2">
        <v>15000</v>
      </c>
    </row>
    <row r="5" spans="1:2">
      <c r="A5" s="2" t="s">
        <v>301</v>
      </c>
      <c r="B5" s="2">
        <v>-3000</v>
      </c>
    </row>
    <row r="6" spans="1:2">
      <c r="A6" s="2" t="s">
        <v>303</v>
      </c>
      <c r="B6" s="2">
        <v>-2000</v>
      </c>
    </row>
    <row r="7" spans="1:2">
      <c r="A7" s="2" t="s">
        <v>302</v>
      </c>
      <c r="B7" s="2">
        <v>45000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18A7-8D4A-4935-A5EF-F8D9FF8B0C45}">
  <sheetPr codeName="Sheet27"/>
  <dimension ref="A1:E15"/>
  <sheetViews>
    <sheetView workbookViewId="0"/>
  </sheetViews>
  <sheetFormatPr defaultRowHeight="14.4"/>
  <cols>
    <col min="5" max="5" width="11.44140625" bestFit="1" customWidth="1"/>
  </cols>
  <sheetData>
    <row r="1" spans="1:5">
      <c r="A1" s="1" t="s">
        <v>305</v>
      </c>
      <c r="B1" s="1" t="s">
        <v>320</v>
      </c>
      <c r="C1" s="1" t="s">
        <v>321</v>
      </c>
      <c r="D1" s="1" t="s">
        <v>322</v>
      </c>
      <c r="E1" s="1" t="s">
        <v>319</v>
      </c>
    </row>
    <row r="2" spans="1:5">
      <c r="A2" s="2" t="s">
        <v>306</v>
      </c>
      <c r="B2" s="2"/>
      <c r="C2" s="2">
        <f>IF(E2&lt;=0,-E2,0)</f>
        <v>0</v>
      </c>
      <c r="D2" s="2">
        <f>IF(E2&gt;0,E2,0)</f>
        <v>6000</v>
      </c>
      <c r="E2" s="2">
        <v>6000</v>
      </c>
    </row>
    <row r="3" spans="1:5">
      <c r="A3" s="2" t="s">
        <v>307</v>
      </c>
      <c r="B3" s="2">
        <f>B2+D2-C3</f>
        <v>6000</v>
      </c>
      <c r="C3" s="2">
        <f t="shared" ref="C3:C14" si="0">IF(E3&lt;=0,-E3,0)</f>
        <v>0</v>
      </c>
      <c r="D3" s="2">
        <f t="shared" ref="D3:D14" si="1">IF(E3&gt;0,E3,0)</f>
        <v>1200</v>
      </c>
      <c r="E3" s="2">
        <v>1200</v>
      </c>
    </row>
    <row r="4" spans="1:5">
      <c r="A4" s="2" t="s">
        <v>308</v>
      </c>
      <c r="B4" s="2">
        <f t="shared" ref="B4:B15" si="2">B3+D3-C4</f>
        <v>7200</v>
      </c>
      <c r="C4" s="2">
        <f t="shared" si="0"/>
        <v>0</v>
      </c>
      <c r="D4" s="2">
        <f t="shared" si="1"/>
        <v>1100</v>
      </c>
      <c r="E4" s="2">
        <v>1100</v>
      </c>
    </row>
    <row r="5" spans="1:5">
      <c r="A5" s="2" t="s">
        <v>309</v>
      </c>
      <c r="B5" s="2">
        <f t="shared" si="2"/>
        <v>6800</v>
      </c>
      <c r="C5" s="2">
        <f t="shared" si="0"/>
        <v>1500</v>
      </c>
      <c r="D5" s="2">
        <f t="shared" si="1"/>
        <v>0</v>
      </c>
      <c r="E5" s="2">
        <v>-1500</v>
      </c>
    </row>
    <row r="6" spans="1:5">
      <c r="A6" s="2" t="s">
        <v>310</v>
      </c>
      <c r="B6" s="2">
        <f t="shared" si="2"/>
        <v>6800</v>
      </c>
      <c r="C6" s="2">
        <f t="shared" si="0"/>
        <v>0</v>
      </c>
      <c r="D6" s="2">
        <f t="shared" si="1"/>
        <v>1800</v>
      </c>
      <c r="E6" s="2">
        <v>1800</v>
      </c>
    </row>
    <row r="7" spans="1:5">
      <c r="A7" s="2" t="s">
        <v>51</v>
      </c>
      <c r="B7" s="2">
        <f t="shared" si="2"/>
        <v>8600</v>
      </c>
      <c r="C7" s="2">
        <f t="shared" si="0"/>
        <v>0</v>
      </c>
      <c r="D7" s="2">
        <f t="shared" si="1"/>
        <v>2000</v>
      </c>
      <c r="E7" s="2">
        <v>2000</v>
      </c>
    </row>
    <row r="8" spans="1:5">
      <c r="A8" s="2" t="s">
        <v>311</v>
      </c>
      <c r="B8" s="2">
        <f t="shared" si="2"/>
        <v>9600</v>
      </c>
      <c r="C8" s="2">
        <f t="shared" si="0"/>
        <v>1000</v>
      </c>
      <c r="D8" s="2">
        <f t="shared" si="1"/>
        <v>0</v>
      </c>
      <c r="E8" s="2">
        <v>-1000</v>
      </c>
    </row>
    <row r="9" spans="1:5">
      <c r="A9" s="2" t="s">
        <v>312</v>
      </c>
      <c r="B9" s="2">
        <f t="shared" si="2"/>
        <v>9600</v>
      </c>
      <c r="C9" s="2">
        <f t="shared" si="0"/>
        <v>0</v>
      </c>
      <c r="D9" s="2">
        <f t="shared" si="1"/>
        <v>1300</v>
      </c>
      <c r="E9" s="2">
        <v>1300</v>
      </c>
    </row>
    <row r="10" spans="1:5">
      <c r="A10" s="2" t="s">
        <v>313</v>
      </c>
      <c r="B10" s="2">
        <f t="shared" si="2"/>
        <v>10900</v>
      </c>
      <c r="C10" s="2">
        <f t="shared" si="0"/>
        <v>0</v>
      </c>
      <c r="D10" s="2">
        <f t="shared" si="1"/>
        <v>1500</v>
      </c>
      <c r="E10" s="2">
        <v>1500</v>
      </c>
    </row>
    <row r="11" spans="1:5">
      <c r="A11" s="2" t="s">
        <v>314</v>
      </c>
      <c r="B11" s="2">
        <f t="shared" si="2"/>
        <v>11265</v>
      </c>
      <c r="C11" s="2">
        <f t="shared" si="0"/>
        <v>1135</v>
      </c>
      <c r="D11" s="2">
        <f t="shared" si="1"/>
        <v>0</v>
      </c>
      <c r="E11" s="2">
        <v>-1135</v>
      </c>
    </row>
    <row r="12" spans="1:5">
      <c r="A12" s="2" t="s">
        <v>315</v>
      </c>
      <c r="B12" s="2">
        <f t="shared" si="2"/>
        <v>10175</v>
      </c>
      <c r="C12" s="2">
        <f t="shared" si="0"/>
        <v>1090</v>
      </c>
      <c r="D12" s="2">
        <f t="shared" si="1"/>
        <v>0</v>
      </c>
      <c r="E12" s="2">
        <v>-1090</v>
      </c>
    </row>
    <row r="13" spans="1:5">
      <c r="A13" s="2" t="s">
        <v>316</v>
      </c>
      <c r="B13" s="2">
        <f t="shared" si="2"/>
        <v>9015</v>
      </c>
      <c r="C13" s="2">
        <f t="shared" si="0"/>
        <v>1160</v>
      </c>
      <c r="D13" s="2">
        <f t="shared" si="1"/>
        <v>0</v>
      </c>
      <c r="E13" s="2">
        <v>-1160</v>
      </c>
    </row>
    <row r="14" spans="1:5">
      <c r="A14" s="2" t="s">
        <v>317</v>
      </c>
      <c r="B14" s="2">
        <f t="shared" si="2"/>
        <v>9015</v>
      </c>
      <c r="C14" s="2">
        <f t="shared" si="0"/>
        <v>0</v>
      </c>
      <c r="D14" s="2">
        <f t="shared" si="1"/>
        <v>1590</v>
      </c>
      <c r="E14" s="2">
        <v>1590</v>
      </c>
    </row>
    <row r="15" spans="1:5">
      <c r="A15" s="2" t="s">
        <v>318</v>
      </c>
      <c r="B15" s="2">
        <f t="shared" si="2"/>
        <v>10605</v>
      </c>
      <c r="C15" s="2"/>
      <c r="D15" s="2"/>
      <c r="E15" s="2"/>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CBB4-6E1D-4C36-9E7C-9955262FA27C}">
  <sheetPr codeName="Sheet28"/>
  <dimension ref="A1:I12"/>
  <sheetViews>
    <sheetView zoomScaleNormal="100" workbookViewId="0">
      <selection activeCell="A15" sqref="A15"/>
    </sheetView>
  </sheetViews>
  <sheetFormatPr defaultRowHeight="14.4"/>
  <cols>
    <col min="1" max="1" width="18.88671875" bestFit="1" customWidth="1"/>
    <col min="5" max="5" width="14.88671875" bestFit="1" customWidth="1"/>
    <col min="6" max="6" width="15.33203125" bestFit="1" customWidth="1"/>
    <col min="7" max="8" width="6.88671875" bestFit="1" customWidth="1"/>
    <col min="9" max="9" width="10.6640625" bestFit="1" customWidth="1"/>
  </cols>
  <sheetData>
    <row r="1" spans="1:9">
      <c r="A1" s="1" t="s">
        <v>323</v>
      </c>
      <c r="B1" s="1" t="s">
        <v>201</v>
      </c>
      <c r="C1" s="1" t="s">
        <v>319</v>
      </c>
      <c r="E1" s="23" t="s">
        <v>339</v>
      </c>
      <c r="F1" s="23" t="s">
        <v>338</v>
      </c>
    </row>
    <row r="2" spans="1:9">
      <c r="A2" s="22" t="s">
        <v>324</v>
      </c>
      <c r="B2" s="2" t="s">
        <v>333</v>
      </c>
      <c r="C2" s="2">
        <v>3000</v>
      </c>
      <c r="E2" s="23" t="s">
        <v>336</v>
      </c>
      <c r="F2" t="s">
        <v>334</v>
      </c>
      <c r="G2" t="s">
        <v>335</v>
      </c>
      <c r="H2" t="s">
        <v>333</v>
      </c>
      <c r="I2" t="s">
        <v>337</v>
      </c>
    </row>
    <row r="3" spans="1:9">
      <c r="A3" s="22" t="s">
        <v>325</v>
      </c>
      <c r="B3" s="2" t="s">
        <v>334</v>
      </c>
      <c r="C3" s="2">
        <v>2500</v>
      </c>
      <c r="E3" s="24" t="s">
        <v>332</v>
      </c>
      <c r="F3">
        <v>1090</v>
      </c>
      <c r="I3">
        <v>1090</v>
      </c>
    </row>
    <row r="4" spans="1:9">
      <c r="A4" s="22" t="s">
        <v>326</v>
      </c>
      <c r="B4" s="2" t="s">
        <v>335</v>
      </c>
      <c r="C4" s="2">
        <v>2900</v>
      </c>
      <c r="E4" s="24" t="s">
        <v>328</v>
      </c>
      <c r="G4">
        <v>2000</v>
      </c>
      <c r="I4">
        <v>2000</v>
      </c>
    </row>
    <row r="5" spans="1:9">
      <c r="A5" s="22" t="s">
        <v>327</v>
      </c>
      <c r="B5" s="2" t="s">
        <v>333</v>
      </c>
      <c r="C5" s="2">
        <v>1500</v>
      </c>
      <c r="E5" s="24" t="s">
        <v>324</v>
      </c>
      <c r="H5">
        <v>3000</v>
      </c>
      <c r="I5">
        <v>3000</v>
      </c>
    </row>
    <row r="6" spans="1:9">
      <c r="A6" s="22" t="s">
        <v>328</v>
      </c>
      <c r="B6" s="2" t="s">
        <v>335</v>
      </c>
      <c r="C6" s="2">
        <v>2000</v>
      </c>
      <c r="E6" s="24" t="s">
        <v>331</v>
      </c>
      <c r="F6">
        <v>2300</v>
      </c>
      <c r="I6">
        <v>2300</v>
      </c>
    </row>
    <row r="7" spans="1:9">
      <c r="A7" s="22" t="s">
        <v>329</v>
      </c>
      <c r="B7" s="2" t="s">
        <v>333</v>
      </c>
      <c r="C7" s="2">
        <v>2200</v>
      </c>
      <c r="E7" s="24" t="s">
        <v>327</v>
      </c>
      <c r="H7">
        <v>1500</v>
      </c>
      <c r="I7">
        <v>1500</v>
      </c>
    </row>
    <row r="8" spans="1:9">
      <c r="A8" s="22" t="s">
        <v>330</v>
      </c>
      <c r="B8" s="2" t="s">
        <v>335</v>
      </c>
      <c r="C8" s="2">
        <v>1800</v>
      </c>
      <c r="E8" s="24" t="s">
        <v>329</v>
      </c>
      <c r="H8">
        <v>2200</v>
      </c>
      <c r="I8">
        <v>2200</v>
      </c>
    </row>
    <row r="9" spans="1:9">
      <c r="A9" s="22" t="s">
        <v>331</v>
      </c>
      <c r="B9" s="2" t="s">
        <v>334</v>
      </c>
      <c r="C9" s="2">
        <v>2300</v>
      </c>
      <c r="E9" s="24" t="s">
        <v>325</v>
      </c>
      <c r="F9">
        <v>2500</v>
      </c>
      <c r="I9">
        <v>2500</v>
      </c>
    </row>
    <row r="10" spans="1:9">
      <c r="A10" s="22" t="s">
        <v>332</v>
      </c>
      <c r="B10" s="2" t="s">
        <v>334</v>
      </c>
      <c r="C10" s="2">
        <v>1090</v>
      </c>
      <c r="E10" s="24" t="s">
        <v>326</v>
      </c>
      <c r="G10">
        <v>2900</v>
      </c>
      <c r="I10">
        <v>2900</v>
      </c>
    </row>
    <row r="11" spans="1:9">
      <c r="E11" s="24" t="s">
        <v>330</v>
      </c>
      <c r="G11">
        <v>1800</v>
      </c>
      <c r="I11">
        <v>1800</v>
      </c>
    </row>
    <row r="12" spans="1:9">
      <c r="E12" s="24" t="s">
        <v>337</v>
      </c>
      <c r="F12">
        <v>5890</v>
      </c>
      <c r="G12">
        <v>6700</v>
      </c>
      <c r="H12">
        <v>6700</v>
      </c>
      <c r="I12">
        <v>19290</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65AB-0C83-4F33-B46E-6BFE49E98515}">
  <sheetPr codeName="Sheet29"/>
  <dimension ref="A3:F10"/>
  <sheetViews>
    <sheetView workbookViewId="0">
      <selection activeCell="A15" sqref="A15"/>
    </sheetView>
  </sheetViews>
  <sheetFormatPr defaultRowHeight="14.4"/>
  <cols>
    <col min="1" max="1" width="21.109375" bestFit="1" customWidth="1"/>
    <col min="2" max="2" width="15.33203125" bestFit="1" customWidth="1"/>
    <col min="3" max="3" width="7.109375" bestFit="1" customWidth="1"/>
    <col min="4" max="5" width="6.88671875" bestFit="1" customWidth="1"/>
    <col min="6" max="6" width="10.6640625" bestFit="1" customWidth="1"/>
  </cols>
  <sheetData>
    <row r="3" spans="1:6">
      <c r="A3" s="23" t="s">
        <v>356</v>
      </c>
      <c r="B3" s="23" t="s">
        <v>338</v>
      </c>
    </row>
    <row r="4" spans="1:6">
      <c r="A4" s="23" t="s">
        <v>336</v>
      </c>
      <c r="B4" t="s">
        <v>340</v>
      </c>
      <c r="C4" t="s">
        <v>342</v>
      </c>
      <c r="D4" t="s">
        <v>343</v>
      </c>
      <c r="E4" t="s">
        <v>346</v>
      </c>
      <c r="F4" t="s">
        <v>337</v>
      </c>
    </row>
    <row r="5" spans="1:6">
      <c r="A5" s="24" t="s">
        <v>347</v>
      </c>
      <c r="B5">
        <v>30000</v>
      </c>
      <c r="C5">
        <v>35000</v>
      </c>
      <c r="D5">
        <v>30320</v>
      </c>
      <c r="E5">
        <v>36820</v>
      </c>
      <c r="F5">
        <v>132140</v>
      </c>
    </row>
    <row r="6" spans="1:6">
      <c r="A6" s="24" t="s">
        <v>349</v>
      </c>
      <c r="B6">
        <v>31000</v>
      </c>
      <c r="C6">
        <v>31290</v>
      </c>
      <c r="D6">
        <v>31900</v>
      </c>
      <c r="E6">
        <v>35000</v>
      </c>
      <c r="F6">
        <v>129190</v>
      </c>
    </row>
    <row r="7" spans="1:6">
      <c r="A7" s="24" t="s">
        <v>351</v>
      </c>
      <c r="B7">
        <v>23420</v>
      </c>
      <c r="C7">
        <v>32550</v>
      </c>
      <c r="D7">
        <v>24820</v>
      </c>
      <c r="E7">
        <v>33220</v>
      </c>
      <c r="F7">
        <v>114010</v>
      </c>
    </row>
    <row r="8" spans="1:6">
      <c r="A8" s="24" t="s">
        <v>348</v>
      </c>
      <c r="B8">
        <v>25400</v>
      </c>
      <c r="C8">
        <v>30430</v>
      </c>
      <c r="D8">
        <v>25820</v>
      </c>
      <c r="E8">
        <v>30820</v>
      </c>
      <c r="F8">
        <v>112470</v>
      </c>
    </row>
    <row r="9" spans="1:6">
      <c r="A9" s="24" t="s">
        <v>350</v>
      </c>
      <c r="B9">
        <v>15000</v>
      </c>
      <c r="C9">
        <v>29180</v>
      </c>
      <c r="D9">
        <v>16000</v>
      </c>
      <c r="E9">
        <v>23800</v>
      </c>
      <c r="F9">
        <v>83980</v>
      </c>
    </row>
    <row r="10" spans="1:6">
      <c r="A10" s="24" t="s">
        <v>337</v>
      </c>
      <c r="B10">
        <v>124820</v>
      </c>
      <c r="C10">
        <v>158450</v>
      </c>
      <c r="D10">
        <v>128860</v>
      </c>
      <c r="E10">
        <v>159660</v>
      </c>
      <c r="F10">
        <v>571790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A73F-284F-498F-8968-BA0598024959}">
  <sheetPr codeName="Sheet30"/>
  <dimension ref="A1:C21"/>
  <sheetViews>
    <sheetView zoomScale="90" zoomScaleNormal="90" workbookViewId="0">
      <selection activeCell="A15" sqref="A15"/>
    </sheetView>
  </sheetViews>
  <sheetFormatPr defaultRowHeight="14.4"/>
  <cols>
    <col min="3" max="3" width="14.6640625" bestFit="1" customWidth="1"/>
  </cols>
  <sheetData>
    <row r="1" spans="1:3">
      <c r="A1" s="1" t="s">
        <v>352</v>
      </c>
      <c r="B1" s="1" t="s">
        <v>354</v>
      </c>
      <c r="C1" s="1" t="s">
        <v>355</v>
      </c>
    </row>
    <row r="2" spans="1:3">
      <c r="A2" s="2" t="s">
        <v>347</v>
      </c>
      <c r="B2" s="2" t="s">
        <v>340</v>
      </c>
      <c r="C2" s="2">
        <v>30000</v>
      </c>
    </row>
    <row r="3" spans="1:3">
      <c r="A3" s="2" t="s">
        <v>348</v>
      </c>
      <c r="B3" s="2" t="s">
        <v>340</v>
      </c>
      <c r="C3" s="2">
        <v>25400</v>
      </c>
    </row>
    <row r="4" spans="1:3">
      <c r="A4" s="2" t="s">
        <v>349</v>
      </c>
      <c r="B4" s="2" t="s">
        <v>340</v>
      </c>
      <c r="C4" s="2">
        <v>31000</v>
      </c>
    </row>
    <row r="5" spans="1:3">
      <c r="A5" s="2" t="s">
        <v>350</v>
      </c>
      <c r="B5" s="2" t="s">
        <v>340</v>
      </c>
      <c r="C5" s="2">
        <v>15000</v>
      </c>
    </row>
    <row r="6" spans="1:3">
      <c r="A6" s="2" t="s">
        <v>351</v>
      </c>
      <c r="B6" s="2" t="s">
        <v>340</v>
      </c>
      <c r="C6" s="2">
        <v>23420</v>
      </c>
    </row>
    <row r="7" spans="1:3">
      <c r="A7" s="2" t="s">
        <v>347</v>
      </c>
      <c r="B7" s="2" t="s">
        <v>342</v>
      </c>
      <c r="C7" s="2">
        <v>35000</v>
      </c>
    </row>
    <row r="8" spans="1:3">
      <c r="A8" s="2" t="s">
        <v>348</v>
      </c>
      <c r="B8" s="2" t="s">
        <v>342</v>
      </c>
      <c r="C8" s="2">
        <v>30430</v>
      </c>
    </row>
    <row r="9" spans="1:3">
      <c r="A9" s="2" t="s">
        <v>349</v>
      </c>
      <c r="B9" s="2" t="s">
        <v>342</v>
      </c>
      <c r="C9" s="2">
        <v>31290</v>
      </c>
    </row>
    <row r="10" spans="1:3">
      <c r="A10" s="2" t="s">
        <v>350</v>
      </c>
      <c r="B10" s="2" t="s">
        <v>342</v>
      </c>
      <c r="C10" s="2">
        <v>29180</v>
      </c>
    </row>
    <row r="11" spans="1:3">
      <c r="A11" s="2" t="s">
        <v>351</v>
      </c>
      <c r="B11" s="2" t="s">
        <v>342</v>
      </c>
      <c r="C11" s="2">
        <v>32550</v>
      </c>
    </row>
    <row r="12" spans="1:3">
      <c r="A12" s="2" t="s">
        <v>347</v>
      </c>
      <c r="B12" s="2" t="s">
        <v>343</v>
      </c>
      <c r="C12" s="2">
        <v>30320</v>
      </c>
    </row>
    <row r="13" spans="1:3">
      <c r="A13" s="2" t="s">
        <v>348</v>
      </c>
      <c r="B13" s="2" t="s">
        <v>343</v>
      </c>
      <c r="C13" s="2">
        <v>25820</v>
      </c>
    </row>
    <row r="14" spans="1:3">
      <c r="A14" s="2" t="s">
        <v>349</v>
      </c>
      <c r="B14" s="2" t="s">
        <v>343</v>
      </c>
      <c r="C14" s="2">
        <v>31900</v>
      </c>
    </row>
    <row r="15" spans="1:3">
      <c r="A15" s="2" t="s">
        <v>350</v>
      </c>
      <c r="B15" s="2" t="s">
        <v>343</v>
      </c>
      <c r="C15" s="2">
        <v>16000</v>
      </c>
    </row>
    <row r="16" spans="1:3">
      <c r="A16" s="2" t="s">
        <v>351</v>
      </c>
      <c r="B16" s="2" t="s">
        <v>343</v>
      </c>
      <c r="C16" s="2">
        <v>24820</v>
      </c>
    </row>
    <row r="17" spans="1:3">
      <c r="A17" s="2" t="s">
        <v>347</v>
      </c>
      <c r="B17" s="2" t="s">
        <v>346</v>
      </c>
      <c r="C17" s="2">
        <v>36820</v>
      </c>
    </row>
    <row r="18" spans="1:3">
      <c r="A18" s="2" t="s">
        <v>348</v>
      </c>
      <c r="B18" s="2" t="s">
        <v>346</v>
      </c>
      <c r="C18" s="2">
        <v>30820</v>
      </c>
    </row>
    <row r="19" spans="1:3">
      <c r="A19" s="2" t="s">
        <v>349</v>
      </c>
      <c r="B19" s="2" t="s">
        <v>346</v>
      </c>
      <c r="C19" s="2">
        <v>35000</v>
      </c>
    </row>
    <row r="20" spans="1:3">
      <c r="A20" s="2" t="s">
        <v>350</v>
      </c>
      <c r="B20" s="2" t="s">
        <v>346</v>
      </c>
      <c r="C20" s="2">
        <v>23800</v>
      </c>
    </row>
    <row r="21" spans="1:3">
      <c r="A21" s="2" t="s">
        <v>351</v>
      </c>
      <c r="B21" s="2" t="s">
        <v>346</v>
      </c>
      <c r="C21" s="2">
        <v>33220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F2B0-FA6C-4D79-9F52-AA249E940391}">
  <sheetPr codeName="Sheet31"/>
  <dimension ref="A1:D12"/>
  <sheetViews>
    <sheetView workbookViewId="0">
      <selection activeCell="A15" sqref="A15"/>
    </sheetView>
  </sheetViews>
  <sheetFormatPr defaultRowHeight="14.4"/>
  <cols>
    <col min="1" max="1" width="15.6640625" bestFit="1" customWidth="1"/>
    <col min="2" max="2" width="15.33203125" bestFit="1" customWidth="1"/>
    <col min="3" max="3" width="4.88671875" bestFit="1" customWidth="1"/>
    <col min="4" max="4" width="10.6640625" bestFit="1" customWidth="1"/>
    <col min="5" max="5" width="22.44140625" bestFit="1" customWidth="1"/>
    <col min="6" max="6" width="19.44140625" bestFit="1" customWidth="1"/>
    <col min="7" max="7" width="27.109375" bestFit="1" customWidth="1"/>
  </cols>
  <sheetData>
    <row r="1" spans="1:4">
      <c r="A1" s="23" t="s">
        <v>80</v>
      </c>
      <c r="B1" t="s">
        <v>353</v>
      </c>
    </row>
    <row r="2" spans="1:4">
      <c r="A2" s="23" t="s">
        <v>358</v>
      </c>
      <c r="B2" t="s">
        <v>353</v>
      </c>
    </row>
    <row r="4" spans="1:4">
      <c r="A4" s="23" t="s">
        <v>368</v>
      </c>
      <c r="B4" s="23" t="s">
        <v>338</v>
      </c>
    </row>
    <row r="5" spans="1:4">
      <c r="A5" s="23" t="s">
        <v>336</v>
      </c>
      <c r="B5" t="s">
        <v>367</v>
      </c>
      <c r="C5" t="s">
        <v>366</v>
      </c>
      <c r="D5" t="s">
        <v>337</v>
      </c>
    </row>
    <row r="6" spans="1:4">
      <c r="A6" s="24" t="s">
        <v>360</v>
      </c>
      <c r="B6">
        <v>200</v>
      </c>
      <c r="C6">
        <v>210</v>
      </c>
      <c r="D6">
        <v>410</v>
      </c>
    </row>
    <row r="7" spans="1:4">
      <c r="A7" s="24" t="s">
        <v>362</v>
      </c>
      <c r="B7">
        <v>210</v>
      </c>
      <c r="C7">
        <v>200</v>
      </c>
      <c r="D7">
        <v>410</v>
      </c>
    </row>
    <row r="8" spans="1:4">
      <c r="A8" s="24" t="s">
        <v>363</v>
      </c>
      <c r="B8">
        <v>150</v>
      </c>
      <c r="C8">
        <v>120</v>
      </c>
      <c r="D8">
        <v>270</v>
      </c>
    </row>
    <row r="9" spans="1:4">
      <c r="A9" s="24" t="s">
        <v>364</v>
      </c>
      <c r="B9">
        <v>90</v>
      </c>
      <c r="C9">
        <v>120</v>
      </c>
      <c r="D9">
        <v>210</v>
      </c>
    </row>
    <row r="10" spans="1:4">
      <c r="A10" s="24" t="s">
        <v>361</v>
      </c>
      <c r="B10">
        <v>250</v>
      </c>
      <c r="C10">
        <v>300</v>
      </c>
      <c r="D10">
        <v>550</v>
      </c>
    </row>
    <row r="11" spans="1:4">
      <c r="A11" s="24" t="s">
        <v>359</v>
      </c>
      <c r="B11">
        <v>100</v>
      </c>
      <c r="C11">
        <v>150</v>
      </c>
      <c r="D11">
        <v>250</v>
      </c>
    </row>
    <row r="12" spans="1:4">
      <c r="A12" s="24" t="s">
        <v>337</v>
      </c>
      <c r="B12">
        <v>1000</v>
      </c>
      <c r="C12">
        <v>1100</v>
      </c>
      <c r="D12">
        <v>2100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6FEE-FE43-4D09-BD2A-DF492529DB58}">
  <sheetPr codeName="Sheet32"/>
  <dimension ref="A1:E13"/>
  <sheetViews>
    <sheetView workbookViewId="0">
      <selection activeCell="A15" sqref="A15"/>
    </sheetView>
  </sheetViews>
  <sheetFormatPr defaultRowHeight="14.4"/>
  <cols>
    <col min="1" max="1" width="12.88671875" bestFit="1" customWidth="1"/>
    <col min="2" max="2" width="12.88671875" customWidth="1"/>
    <col min="3" max="3" width="15.6640625" bestFit="1" customWidth="1"/>
    <col min="4" max="4" width="8.109375" bestFit="1" customWidth="1"/>
    <col min="5" max="5" width="15.88671875" bestFit="1" customWidth="1"/>
  </cols>
  <sheetData>
    <row r="1" spans="1:5">
      <c r="A1" s="1" t="s">
        <v>130</v>
      </c>
      <c r="B1" s="1" t="s">
        <v>365</v>
      </c>
      <c r="C1" s="1" t="s">
        <v>80</v>
      </c>
      <c r="D1" s="1" t="s">
        <v>357</v>
      </c>
      <c r="E1" s="1" t="s">
        <v>358</v>
      </c>
    </row>
    <row r="2" spans="1:5">
      <c r="A2" s="2" t="s">
        <v>359</v>
      </c>
      <c r="B2" s="2" t="s">
        <v>366</v>
      </c>
      <c r="C2" s="2">
        <v>10</v>
      </c>
      <c r="D2" s="2">
        <v>150</v>
      </c>
      <c r="E2" s="2">
        <v>1500</v>
      </c>
    </row>
    <row r="3" spans="1:5">
      <c r="A3" s="2" t="s">
        <v>360</v>
      </c>
      <c r="B3" s="2" t="s">
        <v>366</v>
      </c>
      <c r="C3" s="2">
        <v>20</v>
      </c>
      <c r="D3" s="2">
        <v>210</v>
      </c>
      <c r="E3" s="2">
        <v>4200</v>
      </c>
    </row>
    <row r="4" spans="1:5">
      <c r="A4" s="2" t="s">
        <v>361</v>
      </c>
      <c r="B4" s="2" t="s">
        <v>366</v>
      </c>
      <c r="C4" s="2">
        <v>15</v>
      </c>
      <c r="D4" s="2">
        <v>300</v>
      </c>
      <c r="E4" s="2">
        <v>4500</v>
      </c>
    </row>
    <row r="5" spans="1:5">
      <c r="A5" s="2" t="s">
        <v>362</v>
      </c>
      <c r="B5" s="2" t="s">
        <v>366</v>
      </c>
      <c r="C5" s="2">
        <v>20</v>
      </c>
      <c r="D5" s="2">
        <v>200</v>
      </c>
      <c r="E5" s="2">
        <v>4000</v>
      </c>
    </row>
    <row r="6" spans="1:5">
      <c r="A6" s="2" t="s">
        <v>363</v>
      </c>
      <c r="B6" s="2" t="s">
        <v>366</v>
      </c>
      <c r="C6" s="2">
        <v>37</v>
      </c>
      <c r="D6" s="2">
        <v>120</v>
      </c>
      <c r="E6" s="2">
        <v>4440</v>
      </c>
    </row>
    <row r="7" spans="1:5">
      <c r="A7" s="2" t="s">
        <v>364</v>
      </c>
      <c r="B7" s="2" t="s">
        <v>366</v>
      </c>
      <c r="C7" s="2">
        <v>28</v>
      </c>
      <c r="D7" s="2">
        <v>120</v>
      </c>
      <c r="E7" s="2">
        <v>3360</v>
      </c>
    </row>
    <row r="8" spans="1:5">
      <c r="A8" s="2" t="s">
        <v>359</v>
      </c>
      <c r="B8" s="2" t="s">
        <v>367</v>
      </c>
      <c r="C8" s="2">
        <v>20</v>
      </c>
      <c r="D8" s="2">
        <v>100</v>
      </c>
      <c r="E8" s="2">
        <v>2000</v>
      </c>
    </row>
    <row r="9" spans="1:5">
      <c r="A9" s="2" t="s">
        <v>360</v>
      </c>
      <c r="B9" s="2" t="s">
        <v>367</v>
      </c>
      <c r="C9" s="2">
        <v>32</v>
      </c>
      <c r="D9" s="2">
        <v>200</v>
      </c>
      <c r="E9" s="2">
        <v>6400</v>
      </c>
    </row>
    <row r="10" spans="1:5">
      <c r="A10" s="2" t="s">
        <v>361</v>
      </c>
      <c r="B10" s="2" t="s">
        <v>367</v>
      </c>
      <c r="C10" s="2">
        <v>34</v>
      </c>
      <c r="D10" s="2">
        <v>250</v>
      </c>
      <c r="E10" s="2">
        <v>8500</v>
      </c>
    </row>
    <row r="11" spans="1:5">
      <c r="A11" s="2" t="s">
        <v>362</v>
      </c>
      <c r="B11" s="2" t="s">
        <v>367</v>
      </c>
      <c r="C11" s="2">
        <v>30</v>
      </c>
      <c r="D11" s="2">
        <v>210</v>
      </c>
      <c r="E11" s="2">
        <v>6300</v>
      </c>
    </row>
    <row r="12" spans="1:5">
      <c r="A12" s="2" t="s">
        <v>363</v>
      </c>
      <c r="B12" s="2" t="s">
        <v>367</v>
      </c>
      <c r="C12" s="2">
        <v>45</v>
      </c>
      <c r="D12" s="2">
        <v>150</v>
      </c>
      <c r="E12" s="2">
        <v>6750</v>
      </c>
    </row>
    <row r="13" spans="1:5">
      <c r="A13" s="2" t="s">
        <v>364</v>
      </c>
      <c r="B13" s="2" t="s">
        <v>367</v>
      </c>
      <c r="C13" s="2">
        <v>35</v>
      </c>
      <c r="D13" s="2">
        <v>90</v>
      </c>
      <c r="E13" s="2">
        <v>3150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F0A-206F-4AE0-B824-EBBE568E8BB2}">
  <sheetPr codeName="Sheet33"/>
  <dimension ref="A1:D9"/>
  <sheetViews>
    <sheetView workbookViewId="0">
      <selection activeCell="A15" sqref="A15"/>
    </sheetView>
  </sheetViews>
  <sheetFormatPr defaultRowHeight="14.4"/>
  <cols>
    <col min="1" max="1" width="13.44140625" bestFit="1" customWidth="1"/>
    <col min="2" max="2" width="16.109375" bestFit="1" customWidth="1"/>
    <col min="3" max="3" width="2.88671875" bestFit="1" customWidth="1"/>
    <col min="4" max="4" width="10.6640625" bestFit="1" customWidth="1"/>
    <col min="5" max="6" width="2.88671875" bestFit="1" customWidth="1"/>
    <col min="7" max="7" width="10.6640625" bestFit="1" customWidth="1"/>
  </cols>
  <sheetData>
    <row r="1" spans="1:4">
      <c r="A1" s="23" t="s">
        <v>369</v>
      </c>
      <c r="B1" t="s">
        <v>382</v>
      </c>
    </row>
    <row r="2" spans="1:4">
      <c r="A2" s="23" t="s">
        <v>385</v>
      </c>
      <c r="B2" t="s">
        <v>353</v>
      </c>
    </row>
    <row r="4" spans="1:4">
      <c r="A4" s="23" t="s">
        <v>386</v>
      </c>
      <c r="B4" s="23" t="s">
        <v>338</v>
      </c>
    </row>
    <row r="5" spans="1:4">
      <c r="A5" s="23" t="s">
        <v>336</v>
      </c>
      <c r="B5">
        <v>4</v>
      </c>
      <c r="C5">
        <v>5</v>
      </c>
      <c r="D5" t="s">
        <v>337</v>
      </c>
    </row>
    <row r="6" spans="1:4">
      <c r="A6" s="24" t="s">
        <v>372</v>
      </c>
      <c r="C6">
        <v>20</v>
      </c>
      <c r="D6">
        <v>20</v>
      </c>
    </row>
    <row r="7" spans="1:4">
      <c r="A7" s="24" t="s">
        <v>376</v>
      </c>
      <c r="B7">
        <v>15</v>
      </c>
      <c r="D7">
        <v>15</v>
      </c>
    </row>
    <row r="8" spans="1:4">
      <c r="A8" s="24" t="s">
        <v>380</v>
      </c>
      <c r="C8">
        <v>20</v>
      </c>
      <c r="D8">
        <v>20</v>
      </c>
    </row>
    <row r="9" spans="1:4">
      <c r="A9" s="24" t="s">
        <v>337</v>
      </c>
      <c r="B9">
        <v>15</v>
      </c>
      <c r="C9">
        <v>40</v>
      </c>
      <c r="D9">
        <v>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72EE-781A-4B47-BF3F-D09607C35E17}">
  <sheetPr codeName="Sheet34"/>
  <dimension ref="A1:E11"/>
  <sheetViews>
    <sheetView workbookViewId="0">
      <selection activeCell="A15" sqref="A15"/>
    </sheetView>
  </sheetViews>
  <sheetFormatPr defaultRowHeight="14.4"/>
  <cols>
    <col min="1" max="1" width="15.88671875" bestFit="1" customWidth="1"/>
    <col min="2" max="2" width="13.88671875" bestFit="1" customWidth="1"/>
    <col min="3" max="3" width="14.44140625" bestFit="1" customWidth="1"/>
    <col min="4" max="4" width="9.33203125" bestFit="1" customWidth="1"/>
  </cols>
  <sheetData>
    <row r="1" spans="1:5">
      <c r="A1" s="1" t="s">
        <v>155</v>
      </c>
      <c r="B1" s="1" t="s">
        <v>369</v>
      </c>
      <c r="C1" s="1" t="s">
        <v>370</v>
      </c>
      <c r="D1" s="1" t="s">
        <v>384</v>
      </c>
      <c r="E1" s="25" t="s">
        <v>385</v>
      </c>
    </row>
    <row r="2" spans="1:5">
      <c r="A2" s="3" t="s">
        <v>371</v>
      </c>
      <c r="B2" s="2" t="s">
        <v>381</v>
      </c>
      <c r="C2" s="2">
        <v>3</v>
      </c>
      <c r="D2" s="2">
        <v>10</v>
      </c>
      <c r="E2" s="2">
        <v>0</v>
      </c>
    </row>
    <row r="3" spans="1:5">
      <c r="A3" s="3" t="s">
        <v>372</v>
      </c>
      <c r="B3" s="2" t="s">
        <v>382</v>
      </c>
      <c r="C3" s="2">
        <v>5</v>
      </c>
      <c r="D3" s="2">
        <v>20</v>
      </c>
      <c r="E3" s="2">
        <v>5</v>
      </c>
    </row>
    <row r="4" spans="1:5">
      <c r="A4" s="3" t="s">
        <v>373</v>
      </c>
      <c r="B4" s="2" t="s">
        <v>381</v>
      </c>
      <c r="C4" s="2">
        <v>5</v>
      </c>
      <c r="D4" s="2">
        <v>20</v>
      </c>
      <c r="E4" s="2">
        <v>5</v>
      </c>
    </row>
    <row r="5" spans="1:5">
      <c r="A5" s="3" t="s">
        <v>374</v>
      </c>
      <c r="B5" s="2" t="s">
        <v>383</v>
      </c>
      <c r="C5" s="2">
        <v>4</v>
      </c>
      <c r="D5" s="2">
        <v>15</v>
      </c>
      <c r="E5" s="2">
        <v>0</v>
      </c>
    </row>
    <row r="6" spans="1:5">
      <c r="A6" s="3" t="s">
        <v>375</v>
      </c>
      <c r="B6" s="2" t="s">
        <v>383</v>
      </c>
      <c r="C6" s="2">
        <v>2</v>
      </c>
      <c r="D6" s="2">
        <v>8</v>
      </c>
      <c r="E6" s="2">
        <v>0</v>
      </c>
    </row>
    <row r="7" spans="1:5">
      <c r="A7" s="3" t="s">
        <v>376</v>
      </c>
      <c r="B7" s="2" t="s">
        <v>382</v>
      </c>
      <c r="C7" s="2">
        <v>4</v>
      </c>
      <c r="D7" s="2">
        <v>15</v>
      </c>
      <c r="E7" s="2">
        <v>0</v>
      </c>
    </row>
    <row r="8" spans="1:5">
      <c r="A8" s="3" t="s">
        <v>377</v>
      </c>
      <c r="B8" s="2" t="s">
        <v>381</v>
      </c>
      <c r="C8" s="2">
        <v>3</v>
      </c>
      <c r="D8" s="2">
        <v>10</v>
      </c>
      <c r="E8" s="2">
        <v>0</v>
      </c>
    </row>
    <row r="9" spans="1:5">
      <c r="A9" s="3" t="s">
        <v>378</v>
      </c>
      <c r="B9" s="2" t="s">
        <v>381</v>
      </c>
      <c r="C9" s="2">
        <v>1</v>
      </c>
      <c r="D9" s="2">
        <v>6</v>
      </c>
      <c r="E9" s="2">
        <v>0</v>
      </c>
    </row>
    <row r="10" spans="1:5">
      <c r="A10" s="3" t="s">
        <v>379</v>
      </c>
      <c r="B10" s="2" t="s">
        <v>381</v>
      </c>
      <c r="C10" s="2">
        <v>4</v>
      </c>
      <c r="D10" s="2">
        <v>15</v>
      </c>
      <c r="E10" s="2">
        <v>0</v>
      </c>
    </row>
    <row r="11" spans="1:5">
      <c r="A11" s="3" t="s">
        <v>380</v>
      </c>
      <c r="B11" s="2" t="s">
        <v>382</v>
      </c>
      <c r="C11" s="2">
        <v>5</v>
      </c>
      <c r="D11" s="2">
        <v>20</v>
      </c>
      <c r="E11" s="2">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57CC-94D1-46A0-B709-FC48220083FD}">
  <sheetPr codeName="Sheet35"/>
  <dimension ref="A3:E10"/>
  <sheetViews>
    <sheetView zoomScale="90" zoomScaleNormal="90" workbookViewId="0">
      <selection activeCell="H4" sqref="H4"/>
    </sheetView>
  </sheetViews>
  <sheetFormatPr defaultRowHeight="14.4"/>
  <cols>
    <col min="1" max="1" width="19.33203125" bestFit="1" customWidth="1"/>
    <col min="2" max="2" width="16.109375" bestFit="1" customWidth="1"/>
    <col min="3" max="4" width="8.88671875" bestFit="1" customWidth="1"/>
    <col min="5" max="5" width="11.21875" bestFit="1" customWidth="1"/>
  </cols>
  <sheetData>
    <row r="3" spans="1:5">
      <c r="A3" s="23" t="s">
        <v>393</v>
      </c>
      <c r="B3" s="23" t="s">
        <v>338</v>
      </c>
    </row>
    <row r="4" spans="1:5">
      <c r="A4" s="23" t="s">
        <v>336</v>
      </c>
      <c r="B4" t="s">
        <v>307</v>
      </c>
      <c r="C4" t="s">
        <v>308</v>
      </c>
      <c r="D4" t="s">
        <v>309</v>
      </c>
      <c r="E4" t="s">
        <v>337</v>
      </c>
    </row>
    <row r="5" spans="1:5">
      <c r="A5" s="24" t="s">
        <v>388</v>
      </c>
      <c r="B5" s="473">
        <v>100000</v>
      </c>
      <c r="C5" s="473">
        <v>290000</v>
      </c>
      <c r="D5" s="473">
        <v>190000</v>
      </c>
      <c r="E5" s="473">
        <v>580000</v>
      </c>
    </row>
    <row r="6" spans="1:5">
      <c r="A6" s="24" t="s">
        <v>392</v>
      </c>
      <c r="B6" s="473">
        <v>150000</v>
      </c>
      <c r="C6" s="473">
        <v>350000</v>
      </c>
      <c r="D6" s="473">
        <v>240000</v>
      </c>
      <c r="E6" s="473">
        <v>740000</v>
      </c>
    </row>
    <row r="7" spans="1:5">
      <c r="A7" s="24" t="s">
        <v>389</v>
      </c>
      <c r="B7" s="473">
        <v>200000</v>
      </c>
      <c r="C7" s="473">
        <v>300000</v>
      </c>
      <c r="D7" s="473">
        <v>300000</v>
      </c>
      <c r="E7" s="473">
        <v>800000</v>
      </c>
    </row>
    <row r="8" spans="1:5">
      <c r="A8" s="24" t="s">
        <v>390</v>
      </c>
      <c r="B8" s="473">
        <v>230000</v>
      </c>
      <c r="C8" s="473">
        <v>280000</v>
      </c>
      <c r="D8" s="473">
        <v>390000</v>
      </c>
      <c r="E8" s="473">
        <v>900000</v>
      </c>
    </row>
    <row r="9" spans="1:5">
      <c r="A9" s="24" t="s">
        <v>391</v>
      </c>
      <c r="B9" s="473">
        <v>110000</v>
      </c>
      <c r="C9" s="473">
        <v>250000</v>
      </c>
      <c r="D9" s="473">
        <v>380000</v>
      </c>
      <c r="E9" s="473">
        <v>740000</v>
      </c>
    </row>
    <row r="10" spans="1:5">
      <c r="A10" s="24" t="s">
        <v>337</v>
      </c>
      <c r="B10" s="473">
        <v>790000</v>
      </c>
      <c r="C10" s="473">
        <v>1470000</v>
      </c>
      <c r="D10" s="473">
        <v>1500000</v>
      </c>
      <c r="E10" s="473">
        <v>3760000</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AC67-7CD9-4DCF-BF99-8BEAB7E7C8FB}">
  <sheetPr codeName="Sheet36"/>
  <dimension ref="A1:C16"/>
  <sheetViews>
    <sheetView workbookViewId="0">
      <selection activeCell="A15" sqref="A15"/>
    </sheetView>
  </sheetViews>
  <sheetFormatPr defaultRowHeight="14.4"/>
  <cols>
    <col min="1" max="1" width="12" bestFit="1" customWidth="1"/>
    <col min="2" max="2" width="6.5546875" bestFit="1" customWidth="1"/>
    <col min="3" max="3" width="11.44140625" bestFit="1" customWidth="1"/>
  </cols>
  <sheetData>
    <row r="1" spans="1:3">
      <c r="A1" s="1" t="s">
        <v>387</v>
      </c>
      <c r="B1" s="1" t="s">
        <v>32</v>
      </c>
      <c r="C1" s="1" t="s">
        <v>289</v>
      </c>
    </row>
    <row r="2" spans="1:3">
      <c r="A2" s="2" t="s">
        <v>388</v>
      </c>
      <c r="B2" s="2" t="s">
        <v>307</v>
      </c>
      <c r="C2" s="2">
        <v>100000</v>
      </c>
    </row>
    <row r="3" spans="1:3">
      <c r="A3" s="2" t="s">
        <v>392</v>
      </c>
      <c r="B3" s="2" t="s">
        <v>307</v>
      </c>
      <c r="C3" s="2">
        <v>150000</v>
      </c>
    </row>
    <row r="4" spans="1:3">
      <c r="A4" s="2" t="s">
        <v>389</v>
      </c>
      <c r="B4" s="2" t="s">
        <v>307</v>
      </c>
      <c r="C4" s="2">
        <v>200000</v>
      </c>
    </row>
    <row r="5" spans="1:3">
      <c r="A5" s="2" t="s">
        <v>390</v>
      </c>
      <c r="B5" s="2" t="s">
        <v>307</v>
      </c>
      <c r="C5" s="2">
        <v>230000</v>
      </c>
    </row>
    <row r="6" spans="1:3">
      <c r="A6" s="2" t="s">
        <v>391</v>
      </c>
      <c r="B6" s="2" t="s">
        <v>307</v>
      </c>
      <c r="C6" s="2">
        <v>110000</v>
      </c>
    </row>
    <row r="7" spans="1:3">
      <c r="A7" s="2" t="s">
        <v>388</v>
      </c>
      <c r="B7" s="2" t="s">
        <v>308</v>
      </c>
      <c r="C7" s="2">
        <v>290000</v>
      </c>
    </row>
    <row r="8" spans="1:3">
      <c r="A8" s="2" t="s">
        <v>392</v>
      </c>
      <c r="B8" s="2" t="s">
        <v>308</v>
      </c>
      <c r="C8" s="2">
        <v>350000</v>
      </c>
    </row>
    <row r="9" spans="1:3">
      <c r="A9" s="2" t="s">
        <v>389</v>
      </c>
      <c r="B9" s="2" t="s">
        <v>308</v>
      </c>
      <c r="C9" s="2">
        <v>300000</v>
      </c>
    </row>
    <row r="10" spans="1:3">
      <c r="A10" s="2" t="s">
        <v>390</v>
      </c>
      <c r="B10" s="2" t="s">
        <v>308</v>
      </c>
      <c r="C10" s="2">
        <v>280000</v>
      </c>
    </row>
    <row r="11" spans="1:3">
      <c r="A11" s="2" t="s">
        <v>391</v>
      </c>
      <c r="B11" s="2" t="s">
        <v>308</v>
      </c>
      <c r="C11" s="2">
        <v>250000</v>
      </c>
    </row>
    <row r="12" spans="1:3">
      <c r="A12" s="2" t="s">
        <v>388</v>
      </c>
      <c r="B12" s="2" t="s">
        <v>309</v>
      </c>
      <c r="C12" s="2">
        <v>190000</v>
      </c>
    </row>
    <row r="13" spans="1:3">
      <c r="A13" s="2" t="s">
        <v>392</v>
      </c>
      <c r="B13" s="2" t="s">
        <v>309</v>
      </c>
      <c r="C13" s="2">
        <v>240000</v>
      </c>
    </row>
    <row r="14" spans="1:3">
      <c r="A14" s="2" t="s">
        <v>389</v>
      </c>
      <c r="B14" s="2" t="s">
        <v>309</v>
      </c>
      <c r="C14" s="2">
        <v>300000</v>
      </c>
    </row>
    <row r="15" spans="1:3">
      <c r="A15" s="2" t="s">
        <v>390</v>
      </c>
      <c r="B15" s="2" t="s">
        <v>309</v>
      </c>
      <c r="C15" s="2">
        <v>390000</v>
      </c>
    </row>
    <row r="16" spans="1:3">
      <c r="A16" s="2" t="s">
        <v>391</v>
      </c>
      <c r="B16" s="2" t="s">
        <v>309</v>
      </c>
      <c r="C16" s="2">
        <v>380000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5ADD-578E-472F-8114-2021526AB4DB}">
  <sheetPr codeName="Sheet37"/>
  <dimension ref="A1:J17"/>
  <sheetViews>
    <sheetView zoomScale="90" zoomScaleNormal="90" workbookViewId="0"/>
  </sheetViews>
  <sheetFormatPr defaultRowHeight="14.4"/>
  <cols>
    <col min="2" max="2" width="11.5546875" bestFit="1" customWidth="1"/>
    <col min="5" max="5" width="12.44140625" bestFit="1" customWidth="1"/>
    <col min="6" max="6" width="15.33203125" bestFit="1" customWidth="1"/>
    <col min="7" max="7" width="9.33203125" bestFit="1" customWidth="1"/>
    <col min="8" max="8" width="11.88671875" bestFit="1" customWidth="1"/>
    <col min="9" max="9" width="6.88671875" bestFit="1" customWidth="1"/>
    <col min="10" max="10" width="10.6640625" bestFit="1" customWidth="1"/>
  </cols>
  <sheetData>
    <row r="1" spans="1:10">
      <c r="A1" s="1" t="s">
        <v>0</v>
      </c>
      <c r="B1" s="1" t="s">
        <v>97</v>
      </c>
      <c r="C1" s="1" t="s">
        <v>288</v>
      </c>
      <c r="E1" s="23" t="s">
        <v>402</v>
      </c>
      <c r="F1" s="23" t="s">
        <v>338</v>
      </c>
    </row>
    <row r="2" spans="1:10">
      <c r="A2" s="2" t="s">
        <v>398</v>
      </c>
      <c r="B2" s="2" t="s">
        <v>394</v>
      </c>
      <c r="C2" s="2">
        <v>95</v>
      </c>
      <c r="E2" s="23" t="s">
        <v>336</v>
      </c>
      <c r="F2" t="s">
        <v>397</v>
      </c>
      <c r="G2" t="s">
        <v>396</v>
      </c>
      <c r="H2" t="s">
        <v>394</v>
      </c>
      <c r="I2" t="s">
        <v>395</v>
      </c>
      <c r="J2" t="s">
        <v>337</v>
      </c>
    </row>
    <row r="3" spans="1:10">
      <c r="A3" s="2" t="s">
        <v>399</v>
      </c>
      <c r="B3" s="2" t="s">
        <v>394</v>
      </c>
      <c r="C3" s="2">
        <v>89</v>
      </c>
      <c r="E3" s="24" t="s">
        <v>398</v>
      </c>
      <c r="F3">
        <v>100</v>
      </c>
      <c r="G3">
        <v>100</v>
      </c>
      <c r="H3">
        <v>95</v>
      </c>
      <c r="I3">
        <v>99</v>
      </c>
      <c r="J3">
        <v>394</v>
      </c>
    </row>
    <row r="4" spans="1:10">
      <c r="A4" s="2" t="s">
        <v>401</v>
      </c>
      <c r="B4" s="2" t="s">
        <v>394</v>
      </c>
      <c r="C4" s="2">
        <v>100</v>
      </c>
      <c r="E4" s="24" t="s">
        <v>399</v>
      </c>
      <c r="F4">
        <v>87</v>
      </c>
      <c r="G4">
        <v>88</v>
      </c>
      <c r="H4">
        <v>89</v>
      </c>
      <c r="I4">
        <v>85</v>
      </c>
      <c r="J4">
        <v>349</v>
      </c>
    </row>
    <row r="5" spans="1:10">
      <c r="A5" s="2" t="s">
        <v>400</v>
      </c>
      <c r="B5" s="2" t="s">
        <v>394</v>
      </c>
      <c r="C5" s="2">
        <v>75</v>
      </c>
      <c r="E5" s="24" t="s">
        <v>401</v>
      </c>
      <c r="F5">
        <v>99</v>
      </c>
      <c r="G5">
        <v>100</v>
      </c>
      <c r="H5">
        <v>100</v>
      </c>
      <c r="I5">
        <v>99</v>
      </c>
      <c r="J5">
        <v>398</v>
      </c>
    </row>
    <row r="6" spans="1:10">
      <c r="A6" s="2" t="s">
        <v>398</v>
      </c>
      <c r="B6" s="2" t="s">
        <v>395</v>
      </c>
      <c r="C6" s="2">
        <v>99</v>
      </c>
      <c r="E6" s="24" t="s">
        <v>400</v>
      </c>
      <c r="F6">
        <v>70</v>
      </c>
      <c r="G6">
        <v>77</v>
      </c>
      <c r="H6">
        <v>75</v>
      </c>
      <c r="I6">
        <v>78</v>
      </c>
      <c r="J6">
        <v>300</v>
      </c>
    </row>
    <row r="7" spans="1:10">
      <c r="A7" s="2" t="s">
        <v>399</v>
      </c>
      <c r="B7" s="2" t="s">
        <v>395</v>
      </c>
      <c r="C7" s="2">
        <v>85</v>
      </c>
      <c r="E7" s="24" t="s">
        <v>337</v>
      </c>
      <c r="F7">
        <v>356</v>
      </c>
      <c r="G7">
        <v>365</v>
      </c>
      <c r="H7">
        <v>359</v>
      </c>
      <c r="I7">
        <v>361</v>
      </c>
      <c r="J7">
        <v>1441</v>
      </c>
    </row>
    <row r="8" spans="1:10">
      <c r="A8" s="2" t="s">
        <v>401</v>
      </c>
      <c r="B8" s="2" t="s">
        <v>395</v>
      </c>
      <c r="C8" s="2">
        <v>99</v>
      </c>
    </row>
    <row r="9" spans="1:10">
      <c r="A9" s="2" t="s">
        <v>400</v>
      </c>
      <c r="B9" s="2" t="s">
        <v>395</v>
      </c>
      <c r="C9" s="2">
        <v>78</v>
      </c>
    </row>
    <row r="10" spans="1:10">
      <c r="A10" s="2" t="s">
        <v>398</v>
      </c>
      <c r="B10" s="2" t="s">
        <v>396</v>
      </c>
      <c r="C10" s="2">
        <v>100</v>
      </c>
    </row>
    <row r="11" spans="1:10">
      <c r="A11" s="2" t="s">
        <v>399</v>
      </c>
      <c r="B11" s="2" t="s">
        <v>396</v>
      </c>
      <c r="C11" s="2">
        <v>88</v>
      </c>
    </row>
    <row r="12" spans="1:10">
      <c r="A12" s="2" t="s">
        <v>401</v>
      </c>
      <c r="B12" s="2" t="s">
        <v>396</v>
      </c>
      <c r="C12" s="2">
        <v>100</v>
      </c>
    </row>
    <row r="13" spans="1:10">
      <c r="A13" s="2" t="s">
        <v>400</v>
      </c>
      <c r="B13" s="2" t="s">
        <v>396</v>
      </c>
      <c r="C13" s="2">
        <v>77</v>
      </c>
    </row>
    <row r="14" spans="1:10">
      <c r="A14" s="2" t="s">
        <v>398</v>
      </c>
      <c r="B14" s="2" t="s">
        <v>397</v>
      </c>
      <c r="C14" s="2">
        <v>100</v>
      </c>
    </row>
    <row r="15" spans="1:10">
      <c r="A15" s="2" t="s">
        <v>399</v>
      </c>
      <c r="B15" s="2" t="s">
        <v>397</v>
      </c>
      <c r="C15" s="2">
        <v>87</v>
      </c>
    </row>
    <row r="16" spans="1:10">
      <c r="A16" s="2" t="s">
        <v>401</v>
      </c>
      <c r="B16" s="2" t="s">
        <v>397</v>
      </c>
      <c r="C16" s="2">
        <v>99</v>
      </c>
    </row>
    <row r="17" spans="1:3">
      <c r="A17" s="2" t="s">
        <v>400</v>
      </c>
      <c r="B17" s="2" t="s">
        <v>397</v>
      </c>
      <c r="C17" s="2">
        <v>70</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46D6-717D-47EA-A425-5C5FEEC48A8A}">
  <sheetPr codeName="Sheet38"/>
  <dimension ref="A1:C6"/>
  <sheetViews>
    <sheetView workbookViewId="0">
      <selection activeCell="C2" sqref="C2"/>
    </sheetView>
  </sheetViews>
  <sheetFormatPr defaultRowHeight="14.4"/>
  <cols>
    <col min="1" max="1" width="18.6640625" bestFit="1" customWidth="1"/>
    <col min="2" max="2" width="10" bestFit="1" customWidth="1"/>
  </cols>
  <sheetData>
    <row r="1" spans="1:3">
      <c r="A1" s="1" t="s">
        <v>130</v>
      </c>
      <c r="B1" s="1" t="s">
        <v>403</v>
      </c>
      <c r="C1" s="1" t="s">
        <v>414</v>
      </c>
    </row>
    <row r="2" spans="1:3" ht="17.399999999999999">
      <c r="A2" s="26" t="s">
        <v>404</v>
      </c>
      <c r="B2" s="27" t="s">
        <v>409</v>
      </c>
      <c r="C2" s="28" t="str">
        <f>B2</f>
        <v>TS21433</v>
      </c>
    </row>
    <row r="3" spans="1:3" ht="17.399999999999999">
      <c r="A3" s="2" t="s">
        <v>405</v>
      </c>
      <c r="B3" s="27" t="s">
        <v>410</v>
      </c>
      <c r="C3" s="28" t="str">
        <f>B3</f>
        <v>TS34686</v>
      </c>
    </row>
    <row r="4" spans="1:3" ht="17.399999999999999">
      <c r="A4" s="2" t="s">
        <v>406</v>
      </c>
      <c r="B4" s="27" t="s">
        <v>411</v>
      </c>
      <c r="C4" s="28" t="str">
        <f>B4</f>
        <v>TS29340</v>
      </c>
    </row>
    <row r="5" spans="1:3" ht="17.399999999999999">
      <c r="A5" s="2" t="s">
        <v>407</v>
      </c>
      <c r="B5" s="27" t="s">
        <v>412</v>
      </c>
      <c r="C5" s="28" t="str">
        <f>B5</f>
        <v>TS22065</v>
      </c>
    </row>
    <row r="6" spans="1:3" ht="17.399999999999999">
      <c r="A6" s="2" t="s">
        <v>408</v>
      </c>
      <c r="B6" s="27" t="s">
        <v>413</v>
      </c>
      <c r="C6" s="28" t="str">
        <f>B6</f>
        <v>TS31890</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451D-10C1-436C-AF90-99B9E409704B}">
  <sheetPr codeName="Sheet39"/>
  <dimension ref="A1:E11"/>
  <sheetViews>
    <sheetView workbookViewId="0">
      <selection activeCell="C2" sqref="C2"/>
    </sheetView>
  </sheetViews>
  <sheetFormatPr defaultRowHeight="14.4"/>
  <cols>
    <col min="1" max="1" width="7.44140625" bestFit="1" customWidth="1"/>
    <col min="2" max="2" width="9.6640625" bestFit="1" customWidth="1"/>
    <col min="3" max="3" width="14.88671875" customWidth="1"/>
  </cols>
  <sheetData>
    <row r="1" spans="1:5">
      <c r="A1" s="1" t="s">
        <v>201</v>
      </c>
      <c r="B1" s="1" t="s">
        <v>425</v>
      </c>
      <c r="C1" s="1" t="s">
        <v>426</v>
      </c>
    </row>
    <row r="2" spans="1:5" ht="30">
      <c r="A2" s="2" t="s">
        <v>415</v>
      </c>
      <c r="B2" s="27" t="s">
        <v>427</v>
      </c>
      <c r="C2" s="29" t="str">
        <f>B2</f>
        <v>PD010</v>
      </c>
      <c r="E2" s="30"/>
    </row>
    <row r="3" spans="1:5" ht="30">
      <c r="A3" s="2" t="s">
        <v>416</v>
      </c>
      <c r="B3" s="27" t="s">
        <v>428</v>
      </c>
      <c r="C3" s="29" t="str">
        <f t="shared" ref="C3:C11" si="0">B3</f>
        <v>PD011</v>
      </c>
    </row>
    <row r="4" spans="1:5" ht="30">
      <c r="A4" s="2" t="s">
        <v>417</v>
      </c>
      <c r="B4" s="27" t="s">
        <v>429</v>
      </c>
      <c r="C4" s="29" t="str">
        <f t="shared" si="0"/>
        <v>PD012</v>
      </c>
    </row>
    <row r="5" spans="1:5" ht="30">
      <c r="A5" s="2" t="s">
        <v>418</v>
      </c>
      <c r="B5" s="27" t="s">
        <v>430</v>
      </c>
      <c r="C5" s="29" t="str">
        <f t="shared" si="0"/>
        <v>PD013</v>
      </c>
    </row>
    <row r="6" spans="1:5" ht="30">
      <c r="A6" s="2" t="s">
        <v>419</v>
      </c>
      <c r="B6" s="27" t="s">
        <v>431</v>
      </c>
      <c r="C6" s="29" t="str">
        <f t="shared" si="0"/>
        <v>PD014</v>
      </c>
    </row>
    <row r="7" spans="1:5" ht="30">
      <c r="A7" s="2" t="s">
        <v>420</v>
      </c>
      <c r="B7" s="27" t="s">
        <v>432</v>
      </c>
      <c r="C7" s="29" t="str">
        <f t="shared" si="0"/>
        <v>PD015</v>
      </c>
    </row>
    <row r="8" spans="1:5" ht="30">
      <c r="A8" s="2" t="s">
        <v>421</v>
      </c>
      <c r="B8" s="27" t="s">
        <v>433</v>
      </c>
      <c r="C8" s="29" t="str">
        <f t="shared" si="0"/>
        <v>PD016</v>
      </c>
    </row>
    <row r="9" spans="1:5" ht="30">
      <c r="A9" s="2" t="s">
        <v>422</v>
      </c>
      <c r="B9" s="27" t="s">
        <v>434</v>
      </c>
      <c r="C9" s="29" t="str">
        <f t="shared" si="0"/>
        <v>PD017</v>
      </c>
    </row>
    <row r="10" spans="1:5" ht="30">
      <c r="A10" s="2" t="s">
        <v>423</v>
      </c>
      <c r="B10" s="27" t="s">
        <v>435</v>
      </c>
      <c r="C10" s="29" t="str">
        <f t="shared" si="0"/>
        <v>PD018</v>
      </c>
    </row>
    <row r="11" spans="1:5" ht="30">
      <c r="A11" s="2" t="s">
        <v>424</v>
      </c>
      <c r="B11" s="27" t="s">
        <v>436</v>
      </c>
      <c r="C11" s="29" t="str">
        <f t="shared" si="0"/>
        <v>PD019</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5560-E089-4F12-9820-EF006270DBEF}">
  <sheetPr codeName="Sheet40"/>
  <dimension ref="A1:D11"/>
  <sheetViews>
    <sheetView workbookViewId="0">
      <selection activeCell="C2" sqref="C2"/>
    </sheetView>
  </sheetViews>
  <sheetFormatPr defaultRowHeight="14.4"/>
  <cols>
    <col min="1" max="1" width="7.44140625" bestFit="1" customWidth="1"/>
    <col min="2" max="2" width="9.6640625" bestFit="1" customWidth="1"/>
    <col min="3" max="3" width="14.88671875" bestFit="1" customWidth="1"/>
  </cols>
  <sheetData>
    <row r="1" spans="1:4">
      <c r="A1" s="1" t="s">
        <v>201</v>
      </c>
      <c r="B1" s="1" t="s">
        <v>425</v>
      </c>
      <c r="C1" s="1" t="s">
        <v>426</v>
      </c>
    </row>
    <row r="2" spans="1:4" ht="30">
      <c r="A2" s="2" t="s">
        <v>415</v>
      </c>
      <c r="B2" s="27" t="s">
        <v>427</v>
      </c>
      <c r="C2" s="31" t="str">
        <f>"("&amp;B2&amp;")"</f>
        <v>(PD010)</v>
      </c>
      <c r="D2" s="32"/>
    </row>
    <row r="3" spans="1:4" ht="30">
      <c r="A3" s="2" t="s">
        <v>416</v>
      </c>
      <c r="B3" s="27" t="s">
        <v>428</v>
      </c>
      <c r="C3" s="31" t="str">
        <f t="shared" ref="C3:C11" si="0">"("&amp;B3&amp;")"</f>
        <v>(PD011)</v>
      </c>
    </row>
    <row r="4" spans="1:4" ht="30">
      <c r="A4" s="2" t="s">
        <v>417</v>
      </c>
      <c r="B4" s="27" t="s">
        <v>429</v>
      </c>
      <c r="C4" s="31" t="str">
        <f t="shared" si="0"/>
        <v>(PD012)</v>
      </c>
    </row>
    <row r="5" spans="1:4" ht="30">
      <c r="A5" s="2" t="s">
        <v>418</v>
      </c>
      <c r="B5" s="27" t="s">
        <v>430</v>
      </c>
      <c r="C5" s="31" t="str">
        <f t="shared" si="0"/>
        <v>(PD013)</v>
      </c>
    </row>
    <row r="6" spans="1:4" ht="30">
      <c r="A6" s="2" t="s">
        <v>419</v>
      </c>
      <c r="B6" s="27" t="s">
        <v>431</v>
      </c>
      <c r="C6" s="31" t="str">
        <f t="shared" si="0"/>
        <v>(PD014)</v>
      </c>
    </row>
    <row r="7" spans="1:4" ht="30">
      <c r="A7" s="2" t="s">
        <v>420</v>
      </c>
      <c r="B7" s="27" t="s">
        <v>432</v>
      </c>
      <c r="C7" s="31" t="str">
        <f t="shared" si="0"/>
        <v>(PD015)</v>
      </c>
    </row>
    <row r="8" spans="1:4" ht="30">
      <c r="A8" s="2" t="s">
        <v>421</v>
      </c>
      <c r="B8" s="27" t="s">
        <v>433</v>
      </c>
      <c r="C8" s="31" t="str">
        <f t="shared" si="0"/>
        <v>(PD016)</v>
      </c>
    </row>
    <row r="9" spans="1:4" ht="30">
      <c r="A9" s="2" t="s">
        <v>422</v>
      </c>
      <c r="B9" s="27" t="s">
        <v>434</v>
      </c>
      <c r="C9" s="31" t="str">
        <f t="shared" si="0"/>
        <v>(PD017)</v>
      </c>
    </row>
    <row r="10" spans="1:4" ht="30">
      <c r="A10" s="2" t="s">
        <v>423</v>
      </c>
      <c r="B10" s="27" t="s">
        <v>435</v>
      </c>
      <c r="C10" s="31" t="str">
        <f t="shared" si="0"/>
        <v>(PD018)</v>
      </c>
    </row>
    <row r="11" spans="1:4" ht="30">
      <c r="A11" s="2" t="s">
        <v>424</v>
      </c>
      <c r="B11" s="27" t="s">
        <v>436</v>
      </c>
      <c r="C11" s="31" t="str">
        <f t="shared" si="0"/>
        <v>(PD019)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7DBB-5645-4C02-9E24-63BF64C0C5DE}">
  <sheetPr codeName="Sheet41"/>
  <dimension ref="A1:B13"/>
  <sheetViews>
    <sheetView workbookViewId="0">
      <selection activeCell="C2" sqref="C2"/>
    </sheetView>
  </sheetViews>
  <sheetFormatPr defaultRowHeight="14.4"/>
  <cols>
    <col min="1" max="1" width="14.88671875" bestFit="1" customWidth="1"/>
    <col min="2" max="2" width="19.88671875" style="14" customWidth="1"/>
  </cols>
  <sheetData>
    <row r="1" spans="1:2">
      <c r="A1" s="1" t="s">
        <v>201</v>
      </c>
      <c r="B1" s="2" t="s">
        <v>437</v>
      </c>
    </row>
    <row r="2" spans="1:2">
      <c r="A2" s="14"/>
    </row>
    <row r="3" spans="1:2">
      <c r="A3" s="1" t="s">
        <v>440</v>
      </c>
      <c r="B3" s="27" t="s">
        <v>438</v>
      </c>
    </row>
    <row r="4" spans="1:2">
      <c r="A4" s="14"/>
    </row>
    <row r="5" spans="1:2" ht="30.9" customHeight="1">
      <c r="A5" s="1" t="s">
        <v>426</v>
      </c>
      <c r="B5" s="33" t="str">
        <f>B3</f>
        <v>AS24658910</v>
      </c>
    </row>
    <row r="6" spans="1:2">
      <c r="A6" s="14"/>
    </row>
    <row r="7" spans="1:2">
      <c r="A7" s="14"/>
    </row>
    <row r="8" spans="1:2">
      <c r="A8" s="14"/>
    </row>
    <row r="9" spans="1:2">
      <c r="A9" s="1" t="s">
        <v>201</v>
      </c>
      <c r="B9" s="2" t="s">
        <v>209</v>
      </c>
    </row>
    <row r="10" spans="1:2">
      <c r="A10" s="14"/>
    </row>
    <row r="11" spans="1:2">
      <c r="A11" s="1" t="s">
        <v>440</v>
      </c>
      <c r="B11" s="27" t="s">
        <v>439</v>
      </c>
    </row>
    <row r="12" spans="1:2">
      <c r="A12" s="14"/>
    </row>
    <row r="13" spans="1:2" ht="30.9" customHeight="1">
      <c r="A13" s="1" t="s">
        <v>426</v>
      </c>
      <c r="B13" s="33" t="str">
        <f>B11</f>
        <v>DXPS53197632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4850-1DF9-4604-A0F8-1F949B3571A0}">
  <sheetPr codeName="Sheet42"/>
  <dimension ref="A1:D6"/>
  <sheetViews>
    <sheetView workbookViewId="0">
      <selection activeCell="C2" sqref="C2"/>
    </sheetView>
  </sheetViews>
  <sheetFormatPr defaultRowHeight="14.4"/>
  <cols>
    <col min="1" max="1" width="11.44140625" bestFit="1" customWidth="1"/>
    <col min="2" max="2" width="15.109375" bestFit="1" customWidth="1"/>
    <col min="3" max="3" width="15.109375" customWidth="1"/>
    <col min="4" max="4" width="17.44140625" customWidth="1"/>
  </cols>
  <sheetData>
    <row r="1" spans="1:4">
      <c r="A1" s="1" t="s">
        <v>97</v>
      </c>
      <c r="B1" s="1" t="s">
        <v>447</v>
      </c>
      <c r="C1" s="1" t="s">
        <v>448</v>
      </c>
      <c r="D1" s="1" t="s">
        <v>414</v>
      </c>
    </row>
    <row r="2" spans="1:4" ht="44.4">
      <c r="A2" s="2" t="s">
        <v>394</v>
      </c>
      <c r="B2" s="2">
        <v>2020</v>
      </c>
      <c r="C2" s="27" t="s">
        <v>449</v>
      </c>
      <c r="D2" s="34" t="str">
        <f>C2</f>
        <v>MAT1329845</v>
      </c>
    </row>
    <row r="3" spans="1:4" ht="44.4">
      <c r="A3" s="2" t="s">
        <v>101</v>
      </c>
      <c r="B3" s="2">
        <v>2021</v>
      </c>
      <c r="C3" s="27" t="s">
        <v>450</v>
      </c>
      <c r="D3" s="34" t="str">
        <f>C3</f>
        <v>ENG1803820</v>
      </c>
    </row>
    <row r="4" spans="1:4" ht="44.4">
      <c r="A4" s="2" t="s">
        <v>98</v>
      </c>
      <c r="B4" s="2">
        <v>2022</v>
      </c>
      <c r="C4" s="27" t="s">
        <v>451</v>
      </c>
      <c r="D4" s="34" t="str">
        <f>C4</f>
        <v>HIS9803418</v>
      </c>
    </row>
    <row r="5" spans="1:4" ht="44.4">
      <c r="A5" s="2" t="s">
        <v>99</v>
      </c>
      <c r="B5" s="2">
        <v>2021</v>
      </c>
      <c r="C5" s="27" t="s">
        <v>452</v>
      </c>
      <c r="D5" s="34" t="str">
        <f>C5</f>
        <v>GEO2398571</v>
      </c>
    </row>
    <row r="6" spans="1:4" ht="44.4">
      <c r="A6" s="2" t="s">
        <v>100</v>
      </c>
      <c r="B6" s="2">
        <v>2021</v>
      </c>
      <c r="C6" s="27" t="s">
        <v>453</v>
      </c>
      <c r="D6" s="34" t="str">
        <f>C6</f>
        <v>ECO3449872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0B10-D721-4AC0-868D-B633317A5291}">
  <sheetPr codeName="Sheet43"/>
  <dimension ref="A1:E7"/>
  <sheetViews>
    <sheetView workbookViewId="0">
      <selection activeCell="B1" sqref="B1"/>
    </sheetView>
  </sheetViews>
  <sheetFormatPr defaultRowHeight="14.4"/>
  <cols>
    <col min="1" max="1" width="28.44140625" bestFit="1" customWidth="1"/>
    <col min="2" max="2" width="12" bestFit="1" customWidth="1"/>
    <col min="3" max="3" width="22" bestFit="1" customWidth="1"/>
    <col min="4" max="4" width="24.5546875" bestFit="1" customWidth="1"/>
  </cols>
  <sheetData>
    <row r="1" spans="1:5">
      <c r="A1" s="1" t="s">
        <v>78</v>
      </c>
      <c r="B1" s="1" t="s">
        <v>441</v>
      </c>
      <c r="C1" s="1" t="s">
        <v>454</v>
      </c>
      <c r="D1" s="1" t="s">
        <v>455</v>
      </c>
    </row>
    <row r="2" spans="1:5" ht="30">
      <c r="A2" s="35" t="s">
        <v>62</v>
      </c>
      <c r="B2" s="36">
        <v>44248</v>
      </c>
      <c r="C2" s="37" t="s">
        <v>456</v>
      </c>
      <c r="D2" s="31" t="str">
        <f t="shared" ref="D2:D7" si="0">"("&amp;C2&amp;")"</f>
        <v>(APP56480721)</v>
      </c>
      <c r="E2" s="38"/>
    </row>
    <row r="3" spans="1:5" ht="30">
      <c r="A3" s="35" t="s">
        <v>442</v>
      </c>
      <c r="B3" s="36">
        <v>44250</v>
      </c>
      <c r="C3" s="37" t="s">
        <v>457</v>
      </c>
      <c r="D3" s="31" t="str">
        <f t="shared" si="0"/>
        <v>(SAM56500322)</v>
      </c>
    </row>
    <row r="4" spans="1:5" ht="30">
      <c r="A4" s="35" t="s">
        <v>443</v>
      </c>
      <c r="B4" s="36">
        <v>44393</v>
      </c>
      <c r="C4" s="37" t="s">
        <v>458</v>
      </c>
      <c r="D4" s="31" t="str">
        <f t="shared" si="0"/>
        <v>(SAM57500540)</v>
      </c>
    </row>
    <row r="5" spans="1:5" ht="30">
      <c r="A5" s="35" t="s">
        <v>444</v>
      </c>
      <c r="B5" s="36">
        <v>44428</v>
      </c>
      <c r="C5" s="37" t="s">
        <v>459</v>
      </c>
      <c r="D5" s="31" t="str">
        <f t="shared" si="0"/>
        <v>(APP58932980)</v>
      </c>
    </row>
    <row r="6" spans="1:5" ht="30">
      <c r="A6" s="35" t="s">
        <v>445</v>
      </c>
      <c r="B6" s="36">
        <v>44433</v>
      </c>
      <c r="C6" s="37" t="s">
        <v>460</v>
      </c>
      <c r="D6" s="31" t="str">
        <f t="shared" si="0"/>
        <v>(SAM59129993)</v>
      </c>
    </row>
    <row r="7" spans="1:5" ht="30">
      <c r="A7" s="35" t="s">
        <v>446</v>
      </c>
      <c r="B7" s="36">
        <v>44452</v>
      </c>
      <c r="C7" s="37" t="s">
        <v>461</v>
      </c>
      <c r="D7" s="31" t="str">
        <f t="shared" si="0"/>
        <v>(ONE59927358)</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1A98-619B-4120-912E-A1617B552235}">
  <sheetPr codeName="Sheet44"/>
  <dimension ref="A1:B6"/>
  <sheetViews>
    <sheetView workbookViewId="0">
      <selection activeCell="O2" sqref="O2"/>
    </sheetView>
  </sheetViews>
  <sheetFormatPr defaultRowHeight="14.4"/>
  <cols>
    <col min="1" max="1" width="22.44140625" bestFit="1" customWidth="1"/>
    <col min="2" max="2" width="18.6640625" bestFit="1" customWidth="1"/>
  </cols>
  <sheetData>
    <row r="1" spans="1:2">
      <c r="A1" s="1" t="s">
        <v>462</v>
      </c>
      <c r="B1" s="1" t="s">
        <v>463</v>
      </c>
    </row>
    <row r="2" spans="1:2">
      <c r="A2" s="2" t="s">
        <v>464</v>
      </c>
      <c r="B2" s="2">
        <v>30</v>
      </c>
    </row>
    <row r="3" spans="1:2">
      <c r="A3" s="2" t="s">
        <v>465</v>
      </c>
      <c r="B3" s="2">
        <v>28</v>
      </c>
    </row>
    <row r="4" spans="1:2">
      <c r="A4" s="2" t="s">
        <v>466</v>
      </c>
      <c r="B4" s="2">
        <v>20</v>
      </c>
    </row>
    <row r="5" spans="1:2">
      <c r="A5" s="2" t="s">
        <v>467</v>
      </c>
      <c r="B5" s="2">
        <v>18</v>
      </c>
    </row>
    <row r="6" spans="1:2">
      <c r="A6" s="2" t="s">
        <v>468</v>
      </c>
      <c r="B6" s="2">
        <v>12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4AB6-DD9E-4287-BEC3-9208E0C7662C}">
  <sheetPr codeName="Sheet45"/>
  <dimension ref="A1:B7"/>
  <sheetViews>
    <sheetView workbookViewId="0">
      <selection activeCell="O2" sqref="O2"/>
    </sheetView>
  </sheetViews>
  <sheetFormatPr defaultRowHeight="14.4"/>
  <cols>
    <col min="1" max="1" width="22.44140625" bestFit="1" customWidth="1"/>
    <col min="2" max="2" width="5.88671875" bestFit="1" customWidth="1"/>
  </cols>
  <sheetData>
    <row r="1" spans="1:2">
      <c r="A1" s="1" t="s">
        <v>470</v>
      </c>
      <c r="B1" s="1" t="s">
        <v>469</v>
      </c>
    </row>
    <row r="2" spans="1:2">
      <c r="A2" s="2" t="s">
        <v>471</v>
      </c>
      <c r="B2" s="2">
        <v>100</v>
      </c>
    </row>
    <row r="3" spans="1:2">
      <c r="A3" s="2" t="s">
        <v>472</v>
      </c>
      <c r="B3" s="2">
        <v>90</v>
      </c>
    </row>
    <row r="4" spans="1:2">
      <c r="A4" s="2" t="s">
        <v>473</v>
      </c>
      <c r="B4" s="2">
        <v>82</v>
      </c>
    </row>
    <row r="5" spans="1:2">
      <c r="A5" s="2" t="s">
        <v>474</v>
      </c>
      <c r="B5" s="2">
        <v>75</v>
      </c>
    </row>
    <row r="6" spans="1:2">
      <c r="A6" s="2" t="s">
        <v>475</v>
      </c>
      <c r="B6" s="2">
        <v>60</v>
      </c>
    </row>
    <row r="7" spans="1:2">
      <c r="A7" s="2" t="s">
        <v>476</v>
      </c>
      <c r="B7" s="2">
        <v>55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D3E7-8567-4658-9B2D-106632CC90CE}">
  <sheetPr codeName="Sheet46"/>
  <dimension ref="A1:C8"/>
  <sheetViews>
    <sheetView workbookViewId="0">
      <selection activeCell="O2" sqref="O2"/>
    </sheetView>
  </sheetViews>
  <sheetFormatPr defaultRowHeight="14.4"/>
  <cols>
    <col min="1" max="1" width="11.6640625" bestFit="1" customWidth="1"/>
    <col min="3" max="3" width="17.109375" bestFit="1" customWidth="1"/>
  </cols>
  <sheetData>
    <row r="1" spans="1:3">
      <c r="A1" s="1" t="s">
        <v>477</v>
      </c>
      <c r="B1" s="1" t="s">
        <v>469</v>
      </c>
      <c r="C1" s="25" t="s">
        <v>485</v>
      </c>
    </row>
    <row r="2" spans="1:3">
      <c r="A2" s="2" t="s">
        <v>479</v>
      </c>
      <c r="B2" s="2">
        <v>98</v>
      </c>
      <c r="C2" s="15">
        <f>SUM($B$2:B2)/SUM($B$2:$B$8)</f>
        <v>0.1785063752276867</v>
      </c>
    </row>
    <row r="3" spans="1:3">
      <c r="A3" s="2" t="s">
        <v>478</v>
      </c>
      <c r="B3" s="2">
        <v>90</v>
      </c>
      <c r="C3" s="15">
        <f>SUM($B$2:B3)/SUM($B$2:$B$8)</f>
        <v>0.34244080145719491</v>
      </c>
    </row>
    <row r="4" spans="1:3">
      <c r="A4" s="2" t="s">
        <v>482</v>
      </c>
      <c r="B4" s="2">
        <v>87</v>
      </c>
      <c r="C4" s="15">
        <f>SUM($B$2:B4)/SUM($B$2:$B$8)</f>
        <v>0.50091074681238612</v>
      </c>
    </row>
    <row r="5" spans="1:3">
      <c r="A5" s="2" t="s">
        <v>481</v>
      </c>
      <c r="B5" s="2">
        <v>80</v>
      </c>
      <c r="C5" s="15">
        <f>SUM($B$2:B5)/SUM($B$2:$B$8)</f>
        <v>0.6466302367941712</v>
      </c>
    </row>
    <row r="6" spans="1:3">
      <c r="A6" s="2" t="s">
        <v>480</v>
      </c>
      <c r="B6" s="2">
        <v>75</v>
      </c>
      <c r="C6" s="15">
        <f>SUM($B$2:B6)/SUM($B$2:$B$8)</f>
        <v>0.78324225865209474</v>
      </c>
    </row>
    <row r="7" spans="1:3">
      <c r="A7" s="2" t="s">
        <v>483</v>
      </c>
      <c r="B7" s="2">
        <v>64</v>
      </c>
      <c r="C7" s="15">
        <f>SUM($B$2:B7)/SUM($B$2:$B$8)</f>
        <v>0.89981785063752273</v>
      </c>
    </row>
    <row r="8" spans="1:3">
      <c r="A8" s="2" t="s">
        <v>484</v>
      </c>
      <c r="B8" s="2">
        <v>55</v>
      </c>
      <c r="C8" s="15">
        <f>SUM($B$2:B8)/SUM($B$2:$B$8)</f>
        <v>1</v>
      </c>
    </row>
  </sheetData>
  <sortState xmlns:xlrd2="http://schemas.microsoft.com/office/spreadsheetml/2017/richdata2" ref="A2:C8">
    <sortCondition descending="1" ref="B7"/>
  </sortState>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259F8-0D11-4451-A970-867568185CED}">
  <sheetPr codeName="Sheet47"/>
  <dimension ref="A1:E12"/>
  <sheetViews>
    <sheetView workbookViewId="0"/>
  </sheetViews>
  <sheetFormatPr defaultRowHeight="14.4"/>
  <cols>
    <col min="1" max="1" width="30.6640625" bestFit="1" customWidth="1"/>
    <col min="2" max="2" width="19.88671875" bestFit="1" customWidth="1"/>
    <col min="3" max="3" width="17.109375" bestFit="1" customWidth="1"/>
    <col min="4" max="4" width="14.44140625" bestFit="1" customWidth="1"/>
    <col min="5" max="5" width="13.6640625" bestFit="1" customWidth="1"/>
  </cols>
  <sheetData>
    <row r="1" spans="1:5">
      <c r="A1" s="1" t="s">
        <v>486</v>
      </c>
      <c r="B1" s="1" t="s">
        <v>487</v>
      </c>
      <c r="C1" s="1" t="s">
        <v>485</v>
      </c>
      <c r="D1" s="1" t="s">
        <v>494</v>
      </c>
      <c r="E1" s="1" t="s">
        <v>495</v>
      </c>
    </row>
    <row r="2" spans="1:5">
      <c r="A2" s="2" t="s">
        <v>488</v>
      </c>
      <c r="B2" s="2">
        <v>95</v>
      </c>
      <c r="C2" s="2">
        <f>SUM($B$2:B2)/SUM($B$2:$B$7)*100</f>
        <v>20.87912087912088</v>
      </c>
      <c r="D2" s="2">
        <f t="shared" ref="D2:D7" si="0">IF($B$10&gt;=C2,B2,NA())</f>
        <v>95</v>
      </c>
      <c r="E2" s="2" t="e">
        <f t="shared" ref="E2:E7" si="1">IF($B$10&lt;C2,B2,NA())</f>
        <v>#N/A</v>
      </c>
    </row>
    <row r="3" spans="1:5">
      <c r="A3" s="2" t="s">
        <v>489</v>
      </c>
      <c r="B3" s="2">
        <v>90</v>
      </c>
      <c r="C3" s="2">
        <f>SUM($B$2:B3)/SUM($B$2:$B$7)*100</f>
        <v>40.659340659340657</v>
      </c>
      <c r="D3" s="2">
        <f t="shared" si="0"/>
        <v>90</v>
      </c>
      <c r="E3" s="2" t="e">
        <f t="shared" si="1"/>
        <v>#N/A</v>
      </c>
    </row>
    <row r="4" spans="1:5">
      <c r="A4" s="2" t="s">
        <v>490</v>
      </c>
      <c r="B4" s="2">
        <v>82</v>
      </c>
      <c r="C4" s="2">
        <f>SUM($B$2:B4)/SUM($B$2:$B$7)*100</f>
        <v>58.681318681318686</v>
      </c>
      <c r="D4" s="2">
        <f t="shared" si="0"/>
        <v>82</v>
      </c>
      <c r="E4" s="2" t="e">
        <f t="shared" si="1"/>
        <v>#N/A</v>
      </c>
    </row>
    <row r="5" spans="1:5">
      <c r="A5" s="2" t="s">
        <v>493</v>
      </c>
      <c r="B5" s="2">
        <v>75</v>
      </c>
      <c r="C5" s="2">
        <f>SUM($B$2:B5)/SUM($B$2:$B$7)*100</f>
        <v>75.164835164835168</v>
      </c>
      <c r="D5" s="2">
        <f t="shared" si="0"/>
        <v>75</v>
      </c>
      <c r="E5" s="2" t="e">
        <f t="shared" si="1"/>
        <v>#N/A</v>
      </c>
    </row>
    <row r="6" spans="1:5">
      <c r="A6" s="2" t="s">
        <v>491</v>
      </c>
      <c r="B6" s="2">
        <v>63</v>
      </c>
      <c r="C6" s="2">
        <f>SUM($B$2:B6)/SUM($B$2:$B$7)*100</f>
        <v>89.010989010989007</v>
      </c>
      <c r="D6" s="2" t="e">
        <f t="shared" si="0"/>
        <v>#N/A</v>
      </c>
      <c r="E6" s="2">
        <f t="shared" si="1"/>
        <v>63</v>
      </c>
    </row>
    <row r="7" spans="1:5">
      <c r="A7" s="2" t="s">
        <v>492</v>
      </c>
      <c r="B7" s="2">
        <v>50</v>
      </c>
      <c r="C7" s="2">
        <f>SUM($B$2:B7)/SUM($B$2:$B$7)*100</f>
        <v>100</v>
      </c>
      <c r="D7" s="2" t="e">
        <f t="shared" si="0"/>
        <v>#N/A</v>
      </c>
      <c r="E7" s="2">
        <f t="shared" si="1"/>
        <v>50</v>
      </c>
    </row>
    <row r="9" spans="1:5">
      <c r="A9" s="1" t="s">
        <v>496</v>
      </c>
      <c r="B9" s="2">
        <f>B11</f>
        <v>70</v>
      </c>
    </row>
    <row r="10" spans="1:5">
      <c r="A10" s="1" t="s">
        <v>497</v>
      </c>
      <c r="B10" s="2">
        <f>IFERROR(INDEX($C$2:$C$7,IFERROR(MATCH($B$9,$C$2:$C$7,1),0)+1),1)</f>
        <v>75.164835164835168</v>
      </c>
    </row>
    <row r="11" spans="1:5">
      <c r="A11" s="1" t="s">
        <v>498</v>
      </c>
      <c r="B11" s="2">
        <v>70</v>
      </c>
    </row>
    <row r="12" spans="1:5">
      <c r="B1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Scroll Bar 1">
              <controlPr defaultSize="0" autoPict="0">
                <anchor moveWithCells="1">
                  <from>
                    <xdr:col>4</xdr:col>
                    <xdr:colOff>952500</xdr:colOff>
                    <xdr:row>17</xdr:row>
                    <xdr:rowOff>7620</xdr:rowOff>
                  </from>
                  <to>
                    <xdr:col>8</xdr:col>
                    <xdr:colOff>601980</xdr:colOff>
                    <xdr:row>19</xdr:row>
                    <xdr:rowOff>182880</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A682-84A9-408A-AB47-BDC261532283}">
  <sheetPr codeName="Sheet48"/>
  <dimension ref="A1:C8"/>
  <sheetViews>
    <sheetView workbookViewId="0">
      <selection activeCell="B17" sqref="B17"/>
    </sheetView>
  </sheetViews>
  <sheetFormatPr defaultRowHeight="14.4"/>
  <cols>
    <col min="2" max="2" width="41.33203125" bestFit="1" customWidth="1"/>
    <col min="3" max="3" width="29.88671875" customWidth="1"/>
  </cols>
  <sheetData>
    <row r="1" spans="1:3">
      <c r="B1" s="1" t="s">
        <v>499</v>
      </c>
    </row>
    <row r="2" spans="1:3">
      <c r="B2" s="2" t="s">
        <v>504</v>
      </c>
    </row>
    <row r="3" spans="1:3">
      <c r="B3" s="14"/>
    </row>
    <row r="5" spans="1:3">
      <c r="A5" s="1" t="s">
        <v>500</v>
      </c>
      <c r="B5" s="1" t="s">
        <v>505</v>
      </c>
      <c r="C5" s="1" t="s">
        <v>506</v>
      </c>
    </row>
    <row r="6" spans="1:3">
      <c r="A6" s="7" t="s">
        <v>502</v>
      </c>
      <c r="B6" s="7" t="str">
        <f>LOWER(B2)</f>
        <v>this is an example of change case in excel.</v>
      </c>
      <c r="C6" s="2" t="s">
        <v>508</v>
      </c>
    </row>
    <row r="7" spans="1:3">
      <c r="A7" s="7" t="s">
        <v>501</v>
      </c>
      <c r="B7" s="7" t="str">
        <f>UPPER(B2)</f>
        <v>THIS IS AN EXAMPLE OF CHANGE CASE IN EXCEL.</v>
      </c>
      <c r="C7" s="2" t="s">
        <v>509</v>
      </c>
    </row>
    <row r="8" spans="1:3">
      <c r="A8" s="7" t="s">
        <v>503</v>
      </c>
      <c r="B8" s="7" t="str">
        <f>PROPER(B2)</f>
        <v>This Is An Example Of Change Case In Excel.</v>
      </c>
      <c r="C8" s="2" t="s">
        <v>507</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A62C-DCAB-4ABA-B7BA-12EA24D23E12}">
  <sheetPr codeName="Sheet49"/>
  <dimension ref="A1:B7"/>
  <sheetViews>
    <sheetView workbookViewId="0">
      <selection activeCell="B17" sqref="B17"/>
    </sheetView>
  </sheetViews>
  <sheetFormatPr defaultRowHeight="14.4"/>
  <cols>
    <col min="1" max="2" width="19.109375" bestFit="1" customWidth="1"/>
  </cols>
  <sheetData>
    <row r="1" spans="1:2">
      <c r="A1" s="1" t="s">
        <v>516</v>
      </c>
      <c r="B1" s="1" t="s">
        <v>517</v>
      </c>
    </row>
    <row r="2" spans="1:2">
      <c r="A2" s="2" t="s">
        <v>510</v>
      </c>
      <c r="B2" s="7" t="str">
        <f t="shared" ref="B2:B7" si="0">UPPER(A2)</f>
        <v>CALIFORNIA</v>
      </c>
    </row>
    <row r="3" spans="1:2">
      <c r="A3" s="2" t="s">
        <v>511</v>
      </c>
      <c r="B3" s="7" t="str">
        <f t="shared" si="0"/>
        <v>TEXAS</v>
      </c>
    </row>
    <row r="4" spans="1:2">
      <c r="A4" s="2" t="s">
        <v>512</v>
      </c>
      <c r="B4" s="7" t="str">
        <f t="shared" si="0"/>
        <v>FLORIDA</v>
      </c>
    </row>
    <row r="5" spans="1:2">
      <c r="A5" s="2" t="s">
        <v>513</v>
      </c>
      <c r="B5" s="7" t="str">
        <f t="shared" si="0"/>
        <v>VIRGINIA</v>
      </c>
    </row>
    <row r="6" spans="1:2">
      <c r="A6" s="2" t="s">
        <v>514</v>
      </c>
      <c r="B6" s="7" t="str">
        <f t="shared" si="0"/>
        <v>ALASKA</v>
      </c>
    </row>
    <row r="7" spans="1:2">
      <c r="A7" s="2" t="s">
        <v>515</v>
      </c>
      <c r="B7" s="7" t="str">
        <f t="shared" si="0"/>
        <v>GEORGIA</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FC6-51B3-4B25-8901-29B8291FC49A}">
  <sheetPr codeName="Sheet50"/>
  <dimension ref="A1:B6"/>
  <sheetViews>
    <sheetView workbookViewId="0">
      <selection activeCell="B17" sqref="B17"/>
    </sheetView>
  </sheetViews>
  <sheetFormatPr defaultRowHeight="14.4"/>
  <cols>
    <col min="1" max="2" width="24.109375" bestFit="1" customWidth="1"/>
  </cols>
  <sheetData>
    <row r="1" spans="1:2">
      <c r="A1" s="1" t="s">
        <v>523</v>
      </c>
      <c r="B1" s="1" t="s">
        <v>524</v>
      </c>
    </row>
    <row r="2" spans="1:2">
      <c r="A2" s="2" t="s">
        <v>518</v>
      </c>
      <c r="B2" s="7" t="str">
        <f>LOWER(A2)</f>
        <v>financial</v>
      </c>
    </row>
    <row r="3" spans="1:2">
      <c r="A3" s="2" t="s">
        <v>519</v>
      </c>
      <c r="B3" s="7" t="str">
        <f>LOWER(A3)</f>
        <v>logical</v>
      </c>
    </row>
    <row r="4" spans="1:2">
      <c r="A4" s="2" t="s">
        <v>520</v>
      </c>
      <c r="B4" s="7" t="str">
        <f>LOWER(A4)</f>
        <v>text</v>
      </c>
    </row>
    <row r="5" spans="1:2">
      <c r="A5" s="2" t="s">
        <v>521</v>
      </c>
      <c r="B5" s="7" t="str">
        <f>LOWER(A5)</f>
        <v>date &amp; time</v>
      </c>
    </row>
    <row r="6" spans="1:2">
      <c r="A6" s="2" t="s">
        <v>522</v>
      </c>
      <c r="B6" s="7" t="str">
        <f>LOWER(A6)</f>
        <v>lookup &amp; reference</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1FD8-86FF-4752-A7B3-2214698DFCB5}">
  <sheetPr codeName="Sheet51"/>
  <dimension ref="A1:B7"/>
  <sheetViews>
    <sheetView workbookViewId="0">
      <selection activeCell="B17" sqref="B17"/>
    </sheetView>
  </sheetViews>
  <sheetFormatPr defaultRowHeight="14.4"/>
  <cols>
    <col min="1" max="1" width="51.44140625" bestFit="1" customWidth="1"/>
    <col min="2" max="2" width="51.44140625" customWidth="1"/>
  </cols>
  <sheetData>
    <row r="1" spans="1:2">
      <c r="A1" s="1" t="s">
        <v>525</v>
      </c>
      <c r="B1" s="1" t="s">
        <v>526</v>
      </c>
    </row>
    <row r="2" spans="1:2">
      <c r="A2" s="2" t="s">
        <v>527</v>
      </c>
      <c r="B2" s="7" t="str">
        <f t="shared" ref="B2:B7" si="0">PROPER(A2)</f>
        <v>Excel 2019 Bible</v>
      </c>
    </row>
    <row r="3" spans="1:2">
      <c r="A3" s="2" t="s">
        <v>528</v>
      </c>
      <c r="B3" s="7" t="str">
        <f t="shared" si="0"/>
        <v>Excel 2019 All-In-One For Dummies</v>
      </c>
    </row>
    <row r="4" spans="1:2">
      <c r="A4" s="2" t="s">
        <v>529</v>
      </c>
      <c r="B4" s="7" t="str">
        <f t="shared" si="0"/>
        <v>Excel For Beginners</v>
      </c>
    </row>
    <row r="5" spans="1:2">
      <c r="A5" s="2" t="s">
        <v>530</v>
      </c>
      <c r="B5" s="7" t="str">
        <f t="shared" si="0"/>
        <v>Microsoft Excel 2019 Data Analysis And Business Modeling</v>
      </c>
    </row>
    <row r="6" spans="1:2">
      <c r="A6" s="2" t="s">
        <v>531</v>
      </c>
      <c r="B6" s="7" t="str">
        <f t="shared" si="0"/>
        <v>Excel Basics In 30 Minutes</v>
      </c>
    </row>
    <row r="7" spans="1:2">
      <c r="A7" s="2" t="s">
        <v>532</v>
      </c>
      <c r="B7" s="7" t="str">
        <f t="shared" si="0"/>
        <v>Professional Excel Development</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9BB8-688B-4D95-878D-25B49BBDDCFB}">
  <sheetPr codeName="Sheet52"/>
  <dimension ref="A1:B10"/>
  <sheetViews>
    <sheetView workbookViewId="0">
      <selection activeCell="B17" sqref="B17"/>
    </sheetView>
  </sheetViews>
  <sheetFormatPr defaultRowHeight="14.4"/>
  <cols>
    <col min="1" max="1" width="12.44140625" bestFit="1" customWidth="1"/>
    <col min="2" max="2" width="21.44140625" bestFit="1" customWidth="1"/>
  </cols>
  <sheetData>
    <row r="1" spans="1:2">
      <c r="A1" s="1" t="s">
        <v>533</v>
      </c>
      <c r="B1" s="1" t="s">
        <v>534</v>
      </c>
    </row>
    <row r="2" spans="1:2">
      <c r="A2" s="2" t="s">
        <v>535</v>
      </c>
      <c r="B2" s="7" t="s">
        <v>544</v>
      </c>
    </row>
    <row r="3" spans="1:2">
      <c r="A3" s="2" t="s">
        <v>536</v>
      </c>
      <c r="B3" s="7" t="s">
        <v>545</v>
      </c>
    </row>
    <row r="4" spans="1:2">
      <c r="A4" s="2" t="s">
        <v>537</v>
      </c>
      <c r="B4" s="7" t="s">
        <v>546</v>
      </c>
    </row>
    <row r="5" spans="1:2">
      <c r="A5" s="2" t="s">
        <v>538</v>
      </c>
      <c r="B5" s="7" t="s">
        <v>547</v>
      </c>
    </row>
    <row r="6" spans="1:2">
      <c r="A6" s="2" t="s">
        <v>539</v>
      </c>
      <c r="B6" s="7" t="s">
        <v>548</v>
      </c>
    </row>
    <row r="7" spans="1:2">
      <c r="A7" s="2" t="s">
        <v>540</v>
      </c>
      <c r="B7" s="7" t="s">
        <v>549</v>
      </c>
    </row>
    <row r="8" spans="1:2">
      <c r="A8" s="2" t="s">
        <v>541</v>
      </c>
      <c r="B8" s="7" t="s">
        <v>550</v>
      </c>
    </row>
    <row r="9" spans="1:2">
      <c r="A9" s="2" t="s">
        <v>542</v>
      </c>
      <c r="B9" s="7" t="s">
        <v>551</v>
      </c>
    </row>
    <row r="10" spans="1:2">
      <c r="A10" s="2" t="s">
        <v>543</v>
      </c>
      <c r="B10" s="7" t="s">
        <v>552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6E5-C11C-4F99-8CD3-7E2379689BF7}">
  <sheetPr codeName="Sheet54"/>
  <dimension ref="A1:D11"/>
  <sheetViews>
    <sheetView workbookViewId="0"/>
  </sheetViews>
  <sheetFormatPr defaultRowHeight="14.4"/>
  <cols>
    <col min="1" max="1" width="17" bestFit="1" customWidth="1"/>
    <col min="2" max="2" width="22.5546875" bestFit="1" customWidth="1"/>
    <col min="3" max="3" width="22.44140625" bestFit="1" customWidth="1"/>
    <col min="4" max="4" width="23.88671875" bestFit="1" customWidth="1"/>
  </cols>
  <sheetData>
    <row r="1" spans="1:4">
      <c r="A1" s="1" t="s">
        <v>553</v>
      </c>
      <c r="B1" s="1" t="s">
        <v>554</v>
      </c>
      <c r="C1" s="1" t="s">
        <v>555</v>
      </c>
      <c r="D1" s="1" t="s">
        <v>556</v>
      </c>
    </row>
    <row r="2" spans="1:4">
      <c r="A2" s="3" t="s">
        <v>557</v>
      </c>
      <c r="B2" s="3" t="s">
        <v>567</v>
      </c>
      <c r="C2" s="3" t="s">
        <v>577</v>
      </c>
      <c r="D2" s="2" t="s">
        <v>587</v>
      </c>
    </row>
    <row r="3" spans="1:4">
      <c r="A3" s="3" t="s">
        <v>558</v>
      </c>
      <c r="B3" s="3" t="s">
        <v>568</v>
      </c>
      <c r="C3" s="3" t="s">
        <v>578</v>
      </c>
      <c r="D3" s="2" t="s">
        <v>588</v>
      </c>
    </row>
    <row r="4" spans="1:4">
      <c r="A4" s="3" t="s">
        <v>559</v>
      </c>
      <c r="B4" s="3" t="s">
        <v>569</v>
      </c>
      <c r="C4" s="3" t="s">
        <v>579</v>
      </c>
      <c r="D4" s="2" t="s">
        <v>589</v>
      </c>
    </row>
    <row r="5" spans="1:4">
      <c r="A5" s="3" t="s">
        <v>560</v>
      </c>
      <c r="B5" s="3" t="s">
        <v>570</v>
      </c>
      <c r="C5" s="3" t="s">
        <v>580</v>
      </c>
      <c r="D5" s="2" t="s">
        <v>590</v>
      </c>
    </row>
    <row r="6" spans="1:4">
      <c r="A6" s="3" t="s">
        <v>561</v>
      </c>
      <c r="B6" s="3" t="s">
        <v>571</v>
      </c>
      <c r="C6" s="3" t="s">
        <v>581</v>
      </c>
      <c r="D6" s="2" t="s">
        <v>591</v>
      </c>
    </row>
    <row r="7" spans="1:4">
      <c r="A7" s="3" t="s">
        <v>562</v>
      </c>
      <c r="B7" s="3" t="s">
        <v>572</v>
      </c>
      <c r="C7" s="3" t="s">
        <v>582</v>
      </c>
      <c r="D7" s="2" t="s">
        <v>592</v>
      </c>
    </row>
    <row r="8" spans="1:4">
      <c r="A8" s="3" t="s">
        <v>563</v>
      </c>
      <c r="B8" s="3" t="s">
        <v>573</v>
      </c>
      <c r="C8" s="3" t="s">
        <v>583</v>
      </c>
      <c r="D8" s="2" t="s">
        <v>593</v>
      </c>
    </row>
    <row r="9" spans="1:4">
      <c r="A9" s="3" t="s">
        <v>564</v>
      </c>
      <c r="B9" s="3" t="s">
        <v>574</v>
      </c>
      <c r="C9" s="3" t="s">
        <v>584</v>
      </c>
      <c r="D9" s="2" t="s">
        <v>594</v>
      </c>
    </row>
    <row r="10" spans="1:4">
      <c r="A10" s="3" t="s">
        <v>565</v>
      </c>
      <c r="B10" s="3" t="s">
        <v>575</v>
      </c>
      <c r="C10" s="3" t="s">
        <v>585</v>
      </c>
      <c r="D10" s="2" t="s">
        <v>595</v>
      </c>
    </row>
    <row r="11" spans="1:4">
      <c r="A11" s="3" t="s">
        <v>566</v>
      </c>
      <c r="B11" s="3" t="s">
        <v>576</v>
      </c>
      <c r="C11" s="3" t="s">
        <v>586</v>
      </c>
      <c r="D11" s="2" t="s">
        <v>596</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D8CE-29FD-47CF-A851-92BDF72F6D9B}">
  <sheetPr codeName="Sheet55"/>
  <dimension ref="A1:D2"/>
  <sheetViews>
    <sheetView workbookViewId="0"/>
  </sheetViews>
  <sheetFormatPr defaultRowHeight="14.4"/>
  <cols>
    <col min="1" max="1" width="18.5546875" bestFit="1" customWidth="1"/>
    <col min="2" max="2" width="20.5546875" bestFit="1" customWidth="1"/>
    <col min="3" max="3" width="18.44140625" bestFit="1" customWidth="1"/>
    <col min="4" max="4" width="19.88671875" bestFit="1" customWidth="1"/>
  </cols>
  <sheetData>
    <row r="1" spans="1:4">
      <c r="A1" s="1" t="s">
        <v>598</v>
      </c>
      <c r="B1" s="1" t="s">
        <v>599</v>
      </c>
      <c r="C1" s="1" t="s">
        <v>600</v>
      </c>
      <c r="D1" s="1" t="s">
        <v>601</v>
      </c>
    </row>
    <row r="2" spans="1:4">
      <c r="A2" s="2" t="s">
        <v>597</v>
      </c>
      <c r="B2" s="7" t="s">
        <v>602</v>
      </c>
      <c r="C2" s="7" t="s">
        <v>603</v>
      </c>
      <c r="D2" s="7" t="s">
        <v>604</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37DE-3448-4D21-82A3-41061447F86A}">
  <sheetPr codeName="Sheet56"/>
  <dimension ref="A1:D8"/>
  <sheetViews>
    <sheetView workbookViewId="0">
      <selection activeCell="B14" sqref="B14"/>
    </sheetView>
  </sheetViews>
  <sheetFormatPr defaultRowHeight="14.4"/>
  <cols>
    <col min="1" max="1" width="11.44140625" bestFit="1" customWidth="1"/>
    <col min="2" max="2" width="47.44140625" bestFit="1" customWidth="1"/>
    <col min="3" max="3" width="27.5546875" customWidth="1"/>
    <col min="4" max="4" width="57.33203125" bestFit="1" customWidth="1"/>
  </cols>
  <sheetData>
    <row r="1" spans="1:4">
      <c r="A1" s="1" t="s">
        <v>606</v>
      </c>
      <c r="B1" s="1" t="s">
        <v>608</v>
      </c>
      <c r="C1" s="1" t="s">
        <v>607</v>
      </c>
      <c r="D1" s="1" t="s">
        <v>605</v>
      </c>
    </row>
    <row r="2" spans="1:4">
      <c r="A2" s="20">
        <v>44396</v>
      </c>
      <c r="B2" s="20" t="s">
        <v>609</v>
      </c>
      <c r="C2" s="39" t="str">
        <f>TEXT(A2,"dddd dd mmmm, yyyy")</f>
        <v>Monday 19 July, 2021</v>
      </c>
      <c r="D2" s="40" t="s">
        <v>613</v>
      </c>
    </row>
    <row r="3" spans="1:4">
      <c r="A3" s="2">
        <v>0.49</v>
      </c>
      <c r="B3" s="2" t="s">
        <v>610</v>
      </c>
      <c r="C3" s="39" t="str">
        <f>TEXT(A3,"0.0%")</f>
        <v>49.0%</v>
      </c>
      <c r="D3" s="41" t="s">
        <v>614</v>
      </c>
    </row>
    <row r="4" spans="1:4">
      <c r="A4" s="2">
        <v>1500.35</v>
      </c>
      <c r="B4" s="2" t="s">
        <v>611</v>
      </c>
      <c r="C4" s="39" t="str">
        <f>TEXT(A4,"$#,#.00")</f>
        <v>$1,500.35</v>
      </c>
      <c r="D4" s="40" t="s">
        <v>615</v>
      </c>
    </row>
    <row r="5" spans="1:4">
      <c r="A5" s="2">
        <v>1290</v>
      </c>
      <c r="B5" s="2" t="s">
        <v>612</v>
      </c>
      <c r="C5" s="7" t="str">
        <f>"The Product Code is: "&amp;TEXT(A5,"00000000")</f>
        <v>The Product Code is: 00001290</v>
      </c>
      <c r="D5" s="42" t="s">
        <v>616</v>
      </c>
    </row>
    <row r="7" spans="1:4">
      <c r="B7" s="48"/>
    </row>
    <row r="8" spans="1:4" ht="15.6">
      <c r="C8" s="54"/>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28CE-99F6-4F21-949D-8BAEC4F720A8}">
  <sheetPr codeName="Sheet57"/>
  <dimension ref="A1:C5"/>
  <sheetViews>
    <sheetView workbookViewId="0">
      <selection activeCell="B14" sqref="B14"/>
    </sheetView>
  </sheetViews>
  <sheetFormatPr defaultRowHeight="14.4"/>
  <cols>
    <col min="1" max="1" width="13.109375" bestFit="1" customWidth="1"/>
    <col min="2" max="2" width="47.44140625" bestFit="1" customWidth="1"/>
    <col min="3" max="3" width="43.109375" customWidth="1"/>
  </cols>
  <sheetData>
    <row r="1" spans="1:3">
      <c r="A1" s="44" t="s">
        <v>617</v>
      </c>
      <c r="B1" s="1" t="s">
        <v>608</v>
      </c>
      <c r="C1" s="1" t="s">
        <v>620</v>
      </c>
    </row>
    <row r="2" spans="1:3">
      <c r="A2" s="365">
        <v>20.5</v>
      </c>
      <c r="B2" s="43" t="s">
        <v>618</v>
      </c>
      <c r="C2" s="39" t="str">
        <f>TEXT(A2,"0.00")</f>
        <v>20.50</v>
      </c>
    </row>
    <row r="3" spans="1:3">
      <c r="A3" s="366"/>
      <c r="B3" s="43" t="s">
        <v>619</v>
      </c>
      <c r="C3" s="39" t="str">
        <f>TEXT(A2,"# ???/???")</f>
        <v xml:space="preserve">20   1/2  </v>
      </c>
    </row>
    <row r="4" spans="1:3">
      <c r="A4" s="366"/>
      <c r="B4" s="43" t="s">
        <v>610</v>
      </c>
      <c r="C4" s="39" t="str">
        <f>TEXT(A2,"#%")</f>
        <v>2050%</v>
      </c>
    </row>
    <row r="5" spans="1:3">
      <c r="A5" s="367"/>
      <c r="B5" s="43" t="s">
        <v>611</v>
      </c>
      <c r="C5" s="39" t="str">
        <f>TEXT(A2, "$#,##0.00")</f>
        <v>$20.50</v>
      </c>
    </row>
  </sheetData>
  <mergeCells count="1">
    <mergeCell ref="A2:A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53CC-F15D-400D-AABB-C5F68BFF566D}">
  <sheetPr codeName="Sheet58"/>
  <dimension ref="B2:K22"/>
  <sheetViews>
    <sheetView workbookViewId="0">
      <selection activeCell="B14" sqref="B14"/>
    </sheetView>
  </sheetViews>
  <sheetFormatPr defaultRowHeight="14.4"/>
  <cols>
    <col min="3" max="3" width="48.88671875" bestFit="1" customWidth="1"/>
    <col min="7" max="7" width="18.109375" bestFit="1" customWidth="1"/>
    <col min="11" max="11" width="39.5546875" bestFit="1" customWidth="1"/>
  </cols>
  <sheetData>
    <row r="2" spans="2:11">
      <c r="B2" s="1" t="s">
        <v>621</v>
      </c>
      <c r="C2" s="1" t="s">
        <v>622</v>
      </c>
    </row>
    <row r="3" spans="2:11">
      <c r="B3" s="47">
        <v>0</v>
      </c>
      <c r="C3" s="45" t="s">
        <v>662</v>
      </c>
    </row>
    <row r="4" spans="2:11">
      <c r="B4" s="47" t="s">
        <v>623</v>
      </c>
      <c r="C4" s="45" t="s">
        <v>661</v>
      </c>
    </row>
    <row r="5" spans="2:11" ht="46.5" customHeight="1">
      <c r="B5" s="47" t="s">
        <v>624</v>
      </c>
      <c r="C5" s="46" t="s">
        <v>663</v>
      </c>
    </row>
    <row r="6" spans="2:11">
      <c r="B6" s="47" t="s">
        <v>625</v>
      </c>
      <c r="C6" s="45" t="s">
        <v>626</v>
      </c>
    </row>
    <row r="7" spans="2:11">
      <c r="B7" s="47" t="s">
        <v>627</v>
      </c>
      <c r="C7" s="45" t="s">
        <v>628</v>
      </c>
    </row>
    <row r="9" spans="2:11">
      <c r="F9" s="1" t="s">
        <v>31</v>
      </c>
      <c r="G9" s="1" t="s">
        <v>622</v>
      </c>
      <c r="J9" s="1" t="s">
        <v>621</v>
      </c>
      <c r="K9" s="1" t="s">
        <v>622</v>
      </c>
    </row>
    <row r="10" spans="2:11">
      <c r="F10" s="7" t="s">
        <v>633</v>
      </c>
      <c r="G10" s="2" t="s">
        <v>610</v>
      </c>
      <c r="J10" s="7" t="s">
        <v>653</v>
      </c>
      <c r="K10" s="2" t="s">
        <v>659</v>
      </c>
    </row>
    <row r="11" spans="2:11">
      <c r="F11" s="7" t="s">
        <v>631</v>
      </c>
      <c r="G11" s="2" t="s">
        <v>632</v>
      </c>
      <c r="J11" s="7" t="s">
        <v>654</v>
      </c>
      <c r="K11" s="2" t="s">
        <v>679</v>
      </c>
    </row>
    <row r="12" spans="2:11">
      <c r="F12" s="7" t="s">
        <v>634</v>
      </c>
      <c r="G12" s="2" t="s">
        <v>635</v>
      </c>
      <c r="J12" s="7" t="s">
        <v>655</v>
      </c>
      <c r="K12" s="2" t="s">
        <v>660</v>
      </c>
    </row>
    <row r="13" spans="2:11">
      <c r="F13" s="7" t="s">
        <v>642</v>
      </c>
      <c r="G13" s="2" t="s">
        <v>643</v>
      </c>
      <c r="J13" s="7" t="s">
        <v>656</v>
      </c>
      <c r="K13" s="2" t="s">
        <v>108</v>
      </c>
    </row>
    <row r="14" spans="2:11">
      <c r="F14" s="18" t="s">
        <v>629</v>
      </c>
      <c r="G14" s="2" t="s">
        <v>630</v>
      </c>
      <c r="J14" s="7" t="s">
        <v>654</v>
      </c>
      <c r="K14" s="2" t="s">
        <v>680</v>
      </c>
    </row>
    <row r="15" spans="2:11">
      <c r="F15" s="7" t="s">
        <v>636</v>
      </c>
      <c r="G15" s="2" t="s">
        <v>637</v>
      </c>
      <c r="J15" s="7" t="s">
        <v>657</v>
      </c>
      <c r="K15" s="2" t="s">
        <v>33</v>
      </c>
    </row>
    <row r="16" spans="2:11">
      <c r="F16" s="18" t="s">
        <v>640</v>
      </c>
      <c r="G16" s="2" t="s">
        <v>641</v>
      </c>
      <c r="J16" s="7" t="s">
        <v>658</v>
      </c>
      <c r="K16" s="2" t="s">
        <v>305</v>
      </c>
    </row>
    <row r="17" spans="6:7">
      <c r="F17" s="7" t="s">
        <v>638</v>
      </c>
      <c r="G17" s="2" t="s">
        <v>639</v>
      </c>
    </row>
    <row r="18" spans="6:7">
      <c r="F18" s="7" t="s">
        <v>644</v>
      </c>
      <c r="G18" s="2" t="s">
        <v>645</v>
      </c>
    </row>
    <row r="19" spans="6:7">
      <c r="F19" s="7"/>
      <c r="G19" s="2" t="s">
        <v>646</v>
      </c>
    </row>
    <row r="20" spans="6:7">
      <c r="F20" s="18" t="s">
        <v>647</v>
      </c>
      <c r="G20" s="2" t="s">
        <v>648</v>
      </c>
    </row>
    <row r="21" spans="6:7">
      <c r="F21" s="7" t="s">
        <v>649</v>
      </c>
      <c r="G21" s="2" t="s">
        <v>650</v>
      </c>
    </row>
    <row r="22" spans="6:7">
      <c r="F22" s="7" t="s">
        <v>651</v>
      </c>
      <c r="G22" s="2" t="s">
        <v>652</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91C-324B-4BCB-B5A7-0696CE9F7A7E}">
  <sheetPr codeName="Sheet59"/>
  <dimension ref="A1:D6"/>
  <sheetViews>
    <sheetView workbookViewId="0">
      <selection activeCell="B14" sqref="B14"/>
    </sheetView>
  </sheetViews>
  <sheetFormatPr defaultRowHeight="14.4"/>
  <cols>
    <col min="1" max="1" width="36.33203125" bestFit="1" customWidth="1"/>
    <col min="3" max="3" width="11.88671875" bestFit="1" customWidth="1"/>
    <col min="4" max="4" width="40.109375" customWidth="1"/>
    <col min="6" max="6" width="8.6640625" customWidth="1"/>
  </cols>
  <sheetData>
    <row r="1" spans="1:4">
      <c r="A1" s="1" t="s">
        <v>130</v>
      </c>
      <c r="B1" s="1" t="s">
        <v>357</v>
      </c>
      <c r="C1" s="1" t="s">
        <v>441</v>
      </c>
      <c r="D1" s="1" t="s">
        <v>664</v>
      </c>
    </row>
    <row r="2" spans="1:4" ht="30" customHeight="1">
      <c r="A2" s="19" t="s">
        <v>665</v>
      </c>
      <c r="B2" s="2">
        <v>200</v>
      </c>
      <c r="C2" s="20">
        <v>44571</v>
      </c>
      <c r="D2" s="52" t="str">
        <f>B2&amp;" units of "&amp;A2&amp;" were delivered on "&amp;TEXT(C2,"dd mmm, yyyy")&amp;"."</f>
        <v>200 units of Peak Design Everyday Messenger were delivered on 10 Jan, 2022.</v>
      </c>
    </row>
    <row r="3" spans="1:4" ht="28.8">
      <c r="A3" s="19" t="s">
        <v>666</v>
      </c>
      <c r="B3" s="2">
        <v>250</v>
      </c>
      <c r="C3" s="20">
        <v>44586</v>
      </c>
      <c r="D3" s="52" t="str">
        <f>B3&amp;" units of "&amp;A3&amp;" were delivered on "&amp;TEXT(C3,"dd mmm, yyyy")&amp;"."</f>
        <v>250 units of Timbuk2 Spire were delivered on 25 Jan, 2022.</v>
      </c>
    </row>
    <row r="4" spans="1:4" ht="28.8">
      <c r="A4" s="19" t="s">
        <v>667</v>
      </c>
      <c r="B4" s="2">
        <v>100</v>
      </c>
      <c r="C4" s="20">
        <v>44595</v>
      </c>
      <c r="D4" s="52" t="str">
        <f>B4&amp;" units of "&amp;A4&amp;" were delivered on "&amp;TEXT(C4,"dd mmm, yyyy")&amp;"."</f>
        <v>100 units of Mancro Anti-Theft Backpack were delivered on 03 Feb, 2022.</v>
      </c>
    </row>
    <row r="5" spans="1:4" ht="28.8">
      <c r="A5" s="19" t="s">
        <v>668</v>
      </c>
      <c r="B5" s="2">
        <v>300</v>
      </c>
      <c r="C5" s="20">
        <v>44607</v>
      </c>
      <c r="D5" s="52" t="str">
        <f>B5&amp;" units of "&amp;A5&amp;" were delivered on "&amp;TEXT(C5,"dd mmm, yyyy")&amp;"."</f>
        <v>300 units of HP Envy Urban Backpack were delivered on 15 Feb, 2022.</v>
      </c>
    </row>
    <row r="6" spans="1:4" ht="29.1" customHeight="1">
      <c r="A6" s="19" t="s">
        <v>669</v>
      </c>
      <c r="B6" s="2">
        <v>500</v>
      </c>
      <c r="C6" s="20">
        <v>44638</v>
      </c>
      <c r="D6" s="52" t="str">
        <f>B6&amp;" units of "&amp;A6&amp;" were delivered on "&amp;TEXT(C6,"dd mmm, yyyy")&amp;"."</f>
        <v>500 units of AmazonBasics Shoulder Bag Carrying Case were delivered on 18 Mar, 2022.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A86E-3D36-4B9E-9A01-E369BF8178A3}">
  <sheetPr codeName="Sheet60"/>
  <dimension ref="A1:F7"/>
  <sheetViews>
    <sheetView workbookViewId="0">
      <selection activeCell="B14" sqref="B14"/>
    </sheetView>
  </sheetViews>
  <sheetFormatPr defaultRowHeight="14.4"/>
  <cols>
    <col min="1" max="1" width="11.33203125" bestFit="1" customWidth="1"/>
    <col min="2" max="2" width="10.44140625" bestFit="1" customWidth="1"/>
    <col min="3" max="3" width="22.5546875" bestFit="1" customWidth="1"/>
  </cols>
  <sheetData>
    <row r="1" spans="1:6" ht="15">
      <c r="A1" s="1" t="s">
        <v>305</v>
      </c>
      <c r="B1" s="1" t="s">
        <v>670</v>
      </c>
      <c r="C1" s="1" t="s">
        <v>671</v>
      </c>
      <c r="F1" s="49"/>
    </row>
    <row r="2" spans="1:6">
      <c r="A2" s="50">
        <v>0.20833333333333334</v>
      </c>
      <c r="B2" s="20">
        <v>44494</v>
      </c>
      <c r="C2" s="51" t="str">
        <f t="shared" ref="C2:C7" si="0">TEXT(A2,"h:mm AM/PM")&amp;", "&amp;TEXT(B2,"d-mmm-yy")</f>
        <v>5:00 AM, 25-Oct-21</v>
      </c>
    </row>
    <row r="3" spans="1:6">
      <c r="A3" s="50">
        <v>0.25</v>
      </c>
      <c r="B3" s="20">
        <v>44495</v>
      </c>
      <c r="C3" s="51" t="str">
        <f t="shared" si="0"/>
        <v>6:00 AM, 26-Oct-21</v>
      </c>
    </row>
    <row r="4" spans="1:6">
      <c r="A4" s="50">
        <v>0.29166666666666702</v>
      </c>
      <c r="B4" s="20">
        <v>44496</v>
      </c>
      <c r="C4" s="51" t="str">
        <f t="shared" si="0"/>
        <v>7:00 AM, 27-Oct-21</v>
      </c>
    </row>
    <row r="5" spans="1:6">
      <c r="A5" s="50">
        <v>0.33333333333333298</v>
      </c>
      <c r="B5" s="20">
        <v>44497</v>
      </c>
      <c r="C5" s="51" t="str">
        <f t="shared" si="0"/>
        <v>8:00 AM, 28-Oct-21</v>
      </c>
    </row>
    <row r="6" spans="1:6">
      <c r="A6" s="50">
        <v>0.375</v>
      </c>
      <c r="B6" s="20">
        <v>44498</v>
      </c>
      <c r="C6" s="51" t="str">
        <f t="shared" si="0"/>
        <v>9:00 AM, 29-Oct-21</v>
      </c>
    </row>
    <row r="7" spans="1:6">
      <c r="A7" s="50">
        <v>0.41666666666666602</v>
      </c>
      <c r="B7" s="20">
        <v>44499</v>
      </c>
      <c r="C7" s="51" t="str">
        <f t="shared" si="0"/>
        <v>10:00 AM, 30-Oct-21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EF50-E2B0-4B5A-AE07-465BFFB39F37}">
  <sheetPr codeName="Sheet61"/>
  <dimension ref="A1:C5"/>
  <sheetViews>
    <sheetView workbookViewId="0">
      <selection activeCell="B14" sqref="B14"/>
    </sheetView>
  </sheetViews>
  <sheetFormatPr defaultRowHeight="14.4"/>
  <cols>
    <col min="1" max="1" width="14" customWidth="1"/>
    <col min="2" max="2" width="33.88671875" bestFit="1" customWidth="1"/>
    <col min="3" max="3" width="23" bestFit="1" customWidth="1"/>
  </cols>
  <sheetData>
    <row r="1" spans="1:3">
      <c r="A1" s="1" t="s">
        <v>672</v>
      </c>
      <c r="B1" s="1" t="s">
        <v>673</v>
      </c>
      <c r="C1" s="1" t="s">
        <v>674</v>
      </c>
    </row>
    <row r="2" spans="1:3">
      <c r="A2" s="2">
        <v>919003085258</v>
      </c>
      <c r="B2" s="51" t="str">
        <f>TEXT(A2,"############")</f>
        <v>919003085258</v>
      </c>
      <c r="C2" s="51" t="str">
        <f>TEXT(A2,"##-##########")</f>
        <v>91-9003085258</v>
      </c>
    </row>
    <row r="3" spans="1:3">
      <c r="A3" s="2">
        <v>917947485655</v>
      </c>
      <c r="B3" s="51" t="str">
        <f>TEXT(A3,"############")</f>
        <v>917947485655</v>
      </c>
      <c r="C3" s="51" t="str">
        <f>TEXT(A3,"##-##########")</f>
        <v>91-7947485655</v>
      </c>
    </row>
    <row r="4" spans="1:3">
      <c r="A4" s="2">
        <v>919677227900</v>
      </c>
      <c r="B4" s="51" t="str">
        <f>TEXT(A4,"############")</f>
        <v>919677227900</v>
      </c>
      <c r="C4" s="51" t="str">
        <f>TEXT(A4,"##-##########")</f>
        <v>91-9677227900</v>
      </c>
    </row>
    <row r="5" spans="1:3">
      <c r="A5" s="2">
        <v>918807700139</v>
      </c>
      <c r="B5" s="51" t="str">
        <f>TEXT(A5,"############")</f>
        <v>918807700139</v>
      </c>
      <c r="C5" s="51" t="str">
        <f>TEXT(A5,"##-##########")</f>
        <v>91-8807700139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E505-EAC5-44AF-A346-5F1E6AEBB1DB}">
  <sheetPr codeName="Sheet62"/>
  <dimension ref="A1:D2"/>
  <sheetViews>
    <sheetView workbookViewId="0">
      <selection activeCell="B14" sqref="B14"/>
    </sheetView>
  </sheetViews>
  <sheetFormatPr defaultRowHeight="14.4"/>
  <cols>
    <col min="1" max="1" width="14" bestFit="1" customWidth="1"/>
    <col min="2" max="2" width="16.88671875" bestFit="1" customWidth="1"/>
    <col min="3" max="3" width="15.109375" bestFit="1" customWidth="1"/>
    <col min="4" max="4" width="36.6640625" customWidth="1"/>
  </cols>
  <sheetData>
    <row r="1" spans="1:4">
      <c r="A1" s="1" t="s">
        <v>675</v>
      </c>
      <c r="B1" s="1" t="s">
        <v>87</v>
      </c>
      <c r="C1" s="1" t="s">
        <v>59</v>
      </c>
      <c r="D1" s="25" t="s">
        <v>664</v>
      </c>
    </row>
    <row r="2" spans="1:4">
      <c r="A2" s="53">
        <v>20000</v>
      </c>
      <c r="B2" s="53">
        <v>1500</v>
      </c>
      <c r="C2" s="53">
        <v>18500</v>
      </c>
      <c r="D2" s="51" t="str">
        <f>"The Total Savings: "&amp;TEXT(C2,"$#,##0.00")</f>
        <v>The Total Savings: $18,500.00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CD91-CF2D-4919-AEE0-919A4AD45D3A}">
  <sheetPr codeName="Sheet63"/>
  <dimension ref="A1:B9"/>
  <sheetViews>
    <sheetView workbookViewId="0">
      <selection activeCell="B14" sqref="B14"/>
    </sheetView>
  </sheetViews>
  <sheetFormatPr defaultRowHeight="14.4"/>
  <cols>
    <col min="2" max="2" width="35.109375" bestFit="1" customWidth="1"/>
  </cols>
  <sheetData>
    <row r="1" spans="1:2">
      <c r="A1" s="1" t="s">
        <v>153</v>
      </c>
      <c r="B1" s="1" t="s">
        <v>676</v>
      </c>
    </row>
    <row r="2" spans="1:2">
      <c r="A2" s="2">
        <v>1</v>
      </c>
      <c r="B2" s="7" t="str">
        <f>TEXT(A2,"00000000")</f>
        <v>00000001</v>
      </c>
    </row>
    <row r="3" spans="1:2">
      <c r="A3" s="2">
        <v>25</v>
      </c>
      <c r="B3" s="7" t="str">
        <f t="shared" ref="B3:B9" si="0">TEXT(A3,"00000000")</f>
        <v>00000025</v>
      </c>
    </row>
    <row r="4" spans="1:2">
      <c r="A4" s="2">
        <v>125</v>
      </c>
      <c r="B4" s="7" t="str">
        <f t="shared" si="0"/>
        <v>00000125</v>
      </c>
    </row>
    <row r="5" spans="1:2">
      <c r="A5" s="2">
        <v>1225</v>
      </c>
      <c r="B5" s="7" t="str">
        <f t="shared" si="0"/>
        <v>00001225</v>
      </c>
    </row>
    <row r="6" spans="1:2">
      <c r="A6" s="2">
        <v>12225</v>
      </c>
      <c r="B6" s="7" t="str">
        <f t="shared" si="0"/>
        <v>00012225</v>
      </c>
    </row>
    <row r="7" spans="1:2">
      <c r="A7" s="2">
        <v>122225</v>
      </c>
      <c r="B7" s="7" t="str">
        <f t="shared" si="0"/>
        <v>00122225</v>
      </c>
    </row>
    <row r="8" spans="1:2">
      <c r="A8" s="2">
        <v>1222225</v>
      </c>
      <c r="B8" s="7" t="str">
        <f t="shared" si="0"/>
        <v>01222225</v>
      </c>
    </row>
    <row r="9" spans="1:2">
      <c r="A9" s="2">
        <v>12222225</v>
      </c>
      <c r="B9" s="7" t="str">
        <f t="shared" si="0"/>
        <v>12222225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9DB7-2939-49EF-BAD2-6C27C9960050}">
  <sheetPr codeName="Sheet64"/>
  <dimension ref="A1:B6"/>
  <sheetViews>
    <sheetView workbookViewId="0">
      <selection activeCell="B14" sqref="B14"/>
    </sheetView>
  </sheetViews>
  <sheetFormatPr defaultRowHeight="14.4"/>
  <cols>
    <col min="1" max="1" width="14.88671875" bestFit="1" customWidth="1"/>
    <col min="2" max="2" width="19.6640625" bestFit="1" customWidth="1"/>
  </cols>
  <sheetData>
    <row r="1" spans="1:2">
      <c r="A1" s="1" t="s">
        <v>677</v>
      </c>
      <c r="B1" s="1" t="s">
        <v>678</v>
      </c>
    </row>
    <row r="2" spans="1:2">
      <c r="A2" s="2">
        <v>0.5</v>
      </c>
      <c r="B2" s="7" t="str">
        <f>TEXT(A2,"0.00 %")</f>
        <v>50.00 %</v>
      </c>
    </row>
    <row r="3" spans="1:2">
      <c r="A3" s="2">
        <v>1.5</v>
      </c>
      <c r="B3" s="7" t="str">
        <f>TEXT(A3,"0.00 %")</f>
        <v>150.00 %</v>
      </c>
    </row>
    <row r="4" spans="1:2">
      <c r="A4" s="2">
        <v>-22.9</v>
      </c>
      <c r="B4" s="7" t="str">
        <f>TEXT(A4,"0.00 %")</f>
        <v>-2290.00 %</v>
      </c>
    </row>
    <row r="5" spans="1:2">
      <c r="A5" s="2">
        <v>9.2300000000000004E-3</v>
      </c>
      <c r="B5" s="7" t="str">
        <f>TEXT(A5,"0.00 %")</f>
        <v>0.92 %</v>
      </c>
    </row>
    <row r="6" spans="1:2">
      <c r="A6" s="2">
        <v>21.873999999999999</v>
      </c>
      <c r="B6" s="7" t="str">
        <f>TEXT(A6,"0.00 %")</f>
        <v>2187.40 %</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8B3-DDED-4868-8507-B92637C15FA8}">
  <sheetPr codeName="Sheet65"/>
  <dimension ref="A1:D6"/>
  <sheetViews>
    <sheetView workbookViewId="0">
      <selection activeCell="C2" sqref="C2"/>
    </sheetView>
  </sheetViews>
  <sheetFormatPr defaultRowHeight="14.4"/>
  <cols>
    <col min="1" max="1" width="14.88671875" bestFit="1" customWidth="1"/>
    <col min="2" max="2" width="14.88671875" customWidth="1"/>
    <col min="3" max="3" width="18.88671875" bestFit="1" customWidth="1"/>
    <col min="4" max="4" width="36.44140625" bestFit="1" customWidth="1"/>
  </cols>
  <sheetData>
    <row r="1" spans="1:4">
      <c r="A1" s="1" t="s">
        <v>682</v>
      </c>
      <c r="B1" s="1" t="s">
        <v>683</v>
      </c>
      <c r="C1" s="1" t="s">
        <v>681</v>
      </c>
      <c r="D1" s="1" t="s">
        <v>506</v>
      </c>
    </row>
    <row r="2" spans="1:4">
      <c r="A2" s="2">
        <v>90</v>
      </c>
      <c r="B2" s="2">
        <v>10</v>
      </c>
      <c r="C2" s="7" t="b">
        <f>A2&gt;=B2</f>
        <v>1</v>
      </c>
      <c r="D2" s="55" t="s">
        <v>687</v>
      </c>
    </row>
    <row r="3" spans="1:4">
      <c r="A3" s="20">
        <v>44494</v>
      </c>
      <c r="B3" s="20">
        <v>44129</v>
      </c>
      <c r="C3" s="7" t="b">
        <f>A3&gt;=B3</f>
        <v>1</v>
      </c>
      <c r="D3" s="55" t="s">
        <v>688</v>
      </c>
    </row>
    <row r="4" spans="1:4">
      <c r="A4" s="50">
        <v>0.20833333333333334</v>
      </c>
      <c r="B4" s="50">
        <v>0.41666666666666669</v>
      </c>
      <c r="C4" s="7" t="b">
        <f>A4&gt;=B4</f>
        <v>0</v>
      </c>
      <c r="D4" s="55" t="s">
        <v>689</v>
      </c>
    </row>
    <row r="5" spans="1:4">
      <c r="A5" s="2" t="s">
        <v>684</v>
      </c>
      <c r="B5" s="2" t="s">
        <v>685</v>
      </c>
      <c r="C5" s="7" t="b">
        <f>A5&gt;=B5</f>
        <v>0</v>
      </c>
      <c r="D5" s="55" t="s">
        <v>690</v>
      </c>
    </row>
    <row r="6" spans="1:4">
      <c r="A6" s="2">
        <v>100</v>
      </c>
      <c r="B6" s="2" t="s">
        <v>686</v>
      </c>
      <c r="C6" s="7" t="str">
        <f>IF(A6&gt;=100,B6,"FAIL")</f>
        <v>PASS</v>
      </c>
      <c r="D6" s="55" t="s">
        <v>691</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CF7D-EF92-4871-AE20-ED3EB449F124}">
  <sheetPr codeName="Sheet66"/>
  <dimension ref="A1:C10"/>
  <sheetViews>
    <sheetView workbookViewId="0">
      <selection activeCell="C2" sqref="C2"/>
    </sheetView>
  </sheetViews>
  <sheetFormatPr defaultRowHeight="14.4"/>
  <cols>
    <col min="1" max="1" width="15.88671875" bestFit="1" customWidth="1"/>
    <col min="2" max="2" width="32" bestFit="1" customWidth="1"/>
    <col min="3" max="3" width="42.88671875" bestFit="1" customWidth="1"/>
  </cols>
  <sheetData>
    <row r="1" spans="1:3">
      <c r="A1" s="1" t="s">
        <v>692</v>
      </c>
      <c r="B1" s="1" t="s">
        <v>693</v>
      </c>
      <c r="C1" s="1" t="s">
        <v>694</v>
      </c>
    </row>
    <row r="2" spans="1:3">
      <c r="A2" s="2">
        <v>95</v>
      </c>
      <c r="B2" s="7" t="b">
        <f>A2&gt;50</f>
        <v>1</v>
      </c>
      <c r="C2" s="7" t="b">
        <f>A2&gt;=50</f>
        <v>1</v>
      </c>
    </row>
    <row r="3" spans="1:3">
      <c r="A3" s="2">
        <v>88</v>
      </c>
      <c r="B3" s="7" t="b">
        <f t="shared" ref="B3:B10" si="0">A3&gt;50</f>
        <v>1</v>
      </c>
      <c r="C3" s="7" t="b">
        <f t="shared" ref="C3:C10" si="1">A3&gt;=50</f>
        <v>1</v>
      </c>
    </row>
    <row r="4" spans="1:3">
      <c r="A4" s="2">
        <v>65</v>
      </c>
      <c r="B4" s="7" t="b">
        <f t="shared" si="0"/>
        <v>1</v>
      </c>
      <c r="C4" s="7" t="b">
        <f t="shared" si="1"/>
        <v>1</v>
      </c>
    </row>
    <row r="5" spans="1:3">
      <c r="A5" s="2">
        <v>45</v>
      </c>
      <c r="B5" s="7" t="b">
        <f t="shared" si="0"/>
        <v>0</v>
      </c>
      <c r="C5" s="7" t="b">
        <f t="shared" si="1"/>
        <v>0</v>
      </c>
    </row>
    <row r="6" spans="1:3">
      <c r="A6" s="2">
        <v>85</v>
      </c>
      <c r="B6" s="7" t="b">
        <f t="shared" si="0"/>
        <v>1</v>
      </c>
      <c r="C6" s="7" t="b">
        <f t="shared" si="1"/>
        <v>1</v>
      </c>
    </row>
    <row r="7" spans="1:3">
      <c r="A7" s="2">
        <v>50</v>
      </c>
      <c r="B7" s="7" t="b">
        <f t="shared" si="0"/>
        <v>0</v>
      </c>
      <c r="C7" s="7" t="b">
        <f t="shared" si="1"/>
        <v>1</v>
      </c>
    </row>
    <row r="8" spans="1:3">
      <c r="A8" s="2">
        <v>30</v>
      </c>
      <c r="B8" s="7" t="b">
        <f t="shared" si="0"/>
        <v>0</v>
      </c>
      <c r="C8" s="7" t="b">
        <f t="shared" si="1"/>
        <v>0</v>
      </c>
    </row>
    <row r="9" spans="1:3">
      <c r="A9" s="2">
        <v>50</v>
      </c>
      <c r="B9" s="7" t="b">
        <f t="shared" si="0"/>
        <v>0</v>
      </c>
      <c r="C9" s="7" t="b">
        <f t="shared" si="1"/>
        <v>1</v>
      </c>
    </row>
    <row r="10" spans="1:3">
      <c r="A10" s="2">
        <v>99</v>
      </c>
      <c r="B10" s="7" t="b">
        <f t="shared" si="0"/>
        <v>1</v>
      </c>
      <c r="C10" s="7" t="b">
        <f t="shared" si="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83B5-4588-4651-8D1D-A748F20F4C83}">
  <sheetPr codeName="Sheet67"/>
  <dimension ref="A1:C6"/>
  <sheetViews>
    <sheetView workbookViewId="0">
      <selection activeCell="C2" sqref="C2"/>
    </sheetView>
  </sheetViews>
  <sheetFormatPr defaultRowHeight="14.4"/>
  <cols>
    <col min="1" max="1" width="13.5546875" bestFit="1" customWidth="1"/>
    <col min="2" max="2" width="9.109375" bestFit="1" customWidth="1"/>
    <col min="3" max="3" width="13.88671875" bestFit="1" customWidth="1"/>
  </cols>
  <sheetData>
    <row r="1" spans="1:3">
      <c r="A1" s="1" t="s">
        <v>387</v>
      </c>
      <c r="B1" s="1" t="s">
        <v>210</v>
      </c>
      <c r="C1" s="1" t="s">
        <v>695</v>
      </c>
    </row>
    <row r="2" spans="1:3">
      <c r="A2" s="2" t="s">
        <v>696</v>
      </c>
      <c r="B2" s="2">
        <v>2000000</v>
      </c>
      <c r="C2" s="7" t="str">
        <f>IF(B2&gt;=1000000,"Eligible","Not Eligible")</f>
        <v>Eligible</v>
      </c>
    </row>
    <row r="3" spans="1:3">
      <c r="A3" s="2" t="s">
        <v>697</v>
      </c>
      <c r="B3" s="2">
        <v>2500000</v>
      </c>
      <c r="C3" s="7" t="str">
        <f>IF(B3&gt;=1000000,"Eligible","Not Eligible")</f>
        <v>Eligible</v>
      </c>
    </row>
    <row r="4" spans="1:3">
      <c r="A4" s="2" t="s">
        <v>698</v>
      </c>
      <c r="B4" s="2">
        <v>900000</v>
      </c>
      <c r="C4" s="7" t="str">
        <f>IF(B4&gt;=1000000,"Eligible","Not Eligible")</f>
        <v>Not Eligible</v>
      </c>
    </row>
    <row r="5" spans="1:3">
      <c r="A5" s="2" t="s">
        <v>699</v>
      </c>
      <c r="B5" s="2">
        <v>1000000</v>
      </c>
      <c r="C5" s="7" t="str">
        <f>IF(B5&gt;=1000000,"Eligible","Not Eligible")</f>
        <v>Eligible</v>
      </c>
    </row>
    <row r="6" spans="1:3">
      <c r="A6" s="2" t="s">
        <v>700</v>
      </c>
      <c r="B6" s="2">
        <v>3500000</v>
      </c>
      <c r="C6" s="7" t="str">
        <f>IF(B6&gt;=1000000,"Eligible","Not Eligible")</f>
        <v>Eligible</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6F10-B559-4925-AFA5-C36EF0F84300}">
  <sheetPr codeName="Sheet68"/>
  <dimension ref="A1:F16"/>
  <sheetViews>
    <sheetView workbookViewId="0">
      <selection activeCell="C2" sqref="C2"/>
    </sheetView>
  </sheetViews>
  <sheetFormatPr defaultRowHeight="14.4"/>
  <cols>
    <col min="3" max="3" width="10.109375" bestFit="1" customWidth="1"/>
    <col min="5" max="5" width="41.5546875" bestFit="1" customWidth="1"/>
  </cols>
  <sheetData>
    <row r="1" spans="1:6">
      <c r="A1" s="1" t="s">
        <v>130</v>
      </c>
      <c r="B1" s="1" t="s">
        <v>357</v>
      </c>
      <c r="C1" s="1" t="s">
        <v>706</v>
      </c>
      <c r="E1" s="1" t="s">
        <v>708</v>
      </c>
      <c r="F1" s="7">
        <f>COUNTIF(B2:B16,"&gt;=200")</f>
        <v>11</v>
      </c>
    </row>
    <row r="2" spans="1:6">
      <c r="A2" s="2" t="s">
        <v>131</v>
      </c>
      <c r="B2" s="2">
        <v>100</v>
      </c>
      <c r="C2" s="20">
        <v>44206</v>
      </c>
      <c r="E2" s="1" t="s">
        <v>707</v>
      </c>
      <c r="F2" s="7">
        <f>COUNTIF(C2:C16,"&gt;=3/1/2021")-COUNTIF(C2:C16,"&gt;=5/1/2021")</f>
        <v>6</v>
      </c>
    </row>
    <row r="3" spans="1:6">
      <c r="A3" s="2" t="s">
        <v>132</v>
      </c>
      <c r="B3" s="2">
        <v>250</v>
      </c>
      <c r="C3" s="20">
        <v>44209</v>
      </c>
    </row>
    <row r="4" spans="1:6">
      <c r="A4" s="2" t="s">
        <v>133</v>
      </c>
      <c r="B4" s="2">
        <v>260</v>
      </c>
      <c r="C4" s="20">
        <v>44243</v>
      </c>
    </row>
    <row r="5" spans="1:6">
      <c r="A5" s="2" t="s">
        <v>134</v>
      </c>
      <c r="B5" s="2">
        <v>300</v>
      </c>
      <c r="C5" s="20">
        <v>44247</v>
      </c>
    </row>
    <row r="6" spans="1:6">
      <c r="A6" s="2" t="s">
        <v>135</v>
      </c>
      <c r="B6" s="2">
        <v>150</v>
      </c>
      <c r="C6" s="20">
        <v>44258</v>
      </c>
    </row>
    <row r="7" spans="1:6">
      <c r="A7" s="2" t="s">
        <v>211</v>
      </c>
      <c r="B7" s="2">
        <v>450</v>
      </c>
      <c r="C7" s="20">
        <v>44270</v>
      </c>
    </row>
    <row r="8" spans="1:6">
      <c r="A8" s="2" t="s">
        <v>212</v>
      </c>
      <c r="B8" s="2">
        <v>460</v>
      </c>
      <c r="C8" s="20">
        <v>44285</v>
      </c>
    </row>
    <row r="9" spans="1:6">
      <c r="A9" s="2" t="s">
        <v>213</v>
      </c>
      <c r="B9" s="2">
        <v>520</v>
      </c>
      <c r="C9" s="20">
        <v>44293</v>
      </c>
    </row>
    <row r="10" spans="1:6">
      <c r="A10" s="2" t="s">
        <v>214</v>
      </c>
      <c r="B10" s="2">
        <v>200</v>
      </c>
      <c r="C10" s="20">
        <v>44297</v>
      </c>
    </row>
    <row r="11" spans="1:6">
      <c r="A11" s="2" t="s">
        <v>215</v>
      </c>
      <c r="B11" s="2">
        <v>180</v>
      </c>
      <c r="C11" s="20">
        <v>44309</v>
      </c>
    </row>
    <row r="12" spans="1:6">
      <c r="A12" s="2" t="s">
        <v>701</v>
      </c>
      <c r="B12" s="2">
        <v>610</v>
      </c>
      <c r="C12" s="20">
        <v>44321</v>
      </c>
    </row>
    <row r="13" spans="1:6">
      <c r="A13" s="2" t="s">
        <v>702</v>
      </c>
      <c r="B13" s="2">
        <v>290</v>
      </c>
      <c r="C13" s="20">
        <v>44335</v>
      </c>
    </row>
    <row r="14" spans="1:6">
      <c r="A14" s="2" t="s">
        <v>703</v>
      </c>
      <c r="B14" s="2">
        <v>110</v>
      </c>
      <c r="C14" s="20">
        <v>44349</v>
      </c>
    </row>
    <row r="15" spans="1:6">
      <c r="A15" s="2" t="s">
        <v>704</v>
      </c>
      <c r="B15" s="2">
        <v>270</v>
      </c>
      <c r="C15" s="20">
        <v>44361</v>
      </c>
    </row>
    <row r="16" spans="1:6">
      <c r="A16" s="2" t="s">
        <v>705</v>
      </c>
      <c r="B16" s="2">
        <v>350</v>
      </c>
      <c r="C16" s="20">
        <v>44393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2A95-39D0-4964-BE22-5F5A4C179696}">
  <sheetPr codeName="Sheet69"/>
  <dimension ref="A1:F11"/>
  <sheetViews>
    <sheetView workbookViewId="0">
      <selection activeCell="C2" sqref="C2"/>
    </sheetView>
  </sheetViews>
  <sheetFormatPr defaultRowHeight="14.4"/>
  <cols>
    <col min="1" max="1" width="18.33203125" bestFit="1" customWidth="1"/>
    <col min="2" max="2" width="8.5546875" bestFit="1" customWidth="1"/>
    <col min="5" max="5" width="12.88671875" customWidth="1"/>
    <col min="6" max="6" width="13.88671875" bestFit="1" customWidth="1"/>
  </cols>
  <sheetData>
    <row r="1" spans="1:6">
      <c r="A1" s="1" t="s">
        <v>709</v>
      </c>
      <c r="B1" s="1" t="s">
        <v>710</v>
      </c>
      <c r="E1" s="1" t="s">
        <v>721</v>
      </c>
      <c r="F1" s="1" t="s">
        <v>722</v>
      </c>
    </row>
    <row r="2" spans="1:6">
      <c r="A2" s="2" t="s">
        <v>711</v>
      </c>
      <c r="B2" s="2">
        <v>25000</v>
      </c>
      <c r="E2" s="2" t="s">
        <v>723</v>
      </c>
      <c r="F2" s="7">
        <f>SUMIF(B2:B11,"&gt;=15000")</f>
        <v>163000</v>
      </c>
    </row>
    <row r="3" spans="1:6">
      <c r="A3" s="2" t="s">
        <v>712</v>
      </c>
      <c r="B3" s="2">
        <v>23000</v>
      </c>
    </row>
    <row r="4" spans="1:6">
      <c r="A4" s="2" t="s">
        <v>713</v>
      </c>
      <c r="B4" s="2">
        <v>15000</v>
      </c>
    </row>
    <row r="5" spans="1:6">
      <c r="A5" s="2" t="s">
        <v>714</v>
      </c>
      <c r="B5" s="2">
        <v>20000</v>
      </c>
    </row>
    <row r="6" spans="1:6">
      <c r="A6" s="2" t="s">
        <v>715</v>
      </c>
      <c r="B6" s="2">
        <v>21000</v>
      </c>
    </row>
    <row r="7" spans="1:6">
      <c r="A7" s="2" t="s">
        <v>716</v>
      </c>
      <c r="B7" s="2">
        <v>13000</v>
      </c>
    </row>
    <row r="8" spans="1:6">
      <c r="A8" s="2" t="s">
        <v>717</v>
      </c>
      <c r="B8" s="2">
        <v>29000</v>
      </c>
    </row>
    <row r="9" spans="1:6">
      <c r="A9" s="2" t="s">
        <v>718</v>
      </c>
      <c r="B9" s="2">
        <v>30000</v>
      </c>
    </row>
    <row r="10" spans="1:6">
      <c r="A10" s="2" t="s">
        <v>719</v>
      </c>
      <c r="B10" s="2">
        <v>10000</v>
      </c>
    </row>
    <row r="11" spans="1:6">
      <c r="A11" s="2" t="s">
        <v>720</v>
      </c>
      <c r="B11" s="2">
        <v>5000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B9D2-E3BA-4D47-96B6-E14A71DDAC62}">
  <sheetPr codeName="Sheet70"/>
  <dimension ref="A1:B9"/>
  <sheetViews>
    <sheetView workbookViewId="0"/>
  </sheetViews>
  <sheetFormatPr defaultRowHeight="14.4"/>
  <cols>
    <col min="1" max="1" width="11.33203125" bestFit="1" customWidth="1"/>
    <col min="2" max="2" width="9.109375" bestFit="1" customWidth="1"/>
  </cols>
  <sheetData>
    <row r="1" spans="1:2">
      <c r="A1" s="1" t="s">
        <v>354</v>
      </c>
      <c r="B1" s="1" t="s">
        <v>210</v>
      </c>
    </row>
    <row r="2" spans="1:2">
      <c r="A2" s="2" t="s">
        <v>340</v>
      </c>
      <c r="B2" s="2">
        <v>1000</v>
      </c>
    </row>
    <row r="3" spans="1:2">
      <c r="A3" s="2" t="s">
        <v>341</v>
      </c>
      <c r="B3" s="2">
        <v>500</v>
      </c>
    </row>
    <row r="4" spans="1:2">
      <c r="A4" s="2" t="s">
        <v>343</v>
      </c>
      <c r="B4" s="2">
        <v>2000</v>
      </c>
    </row>
    <row r="5" spans="1:2">
      <c r="A5" s="2" t="s">
        <v>346</v>
      </c>
      <c r="B5" s="2">
        <v>2500</v>
      </c>
    </row>
    <row r="6" spans="1:2">
      <c r="A6" s="2" t="s">
        <v>724</v>
      </c>
      <c r="B6" s="2">
        <v>350</v>
      </c>
    </row>
    <row r="7" spans="1:2">
      <c r="A7" s="2" t="s">
        <v>725</v>
      </c>
      <c r="B7" s="2">
        <v>1200</v>
      </c>
    </row>
    <row r="8" spans="1:2">
      <c r="A8" s="2" t="s">
        <v>342</v>
      </c>
      <c r="B8" s="2">
        <v>5000</v>
      </c>
    </row>
    <row r="9" spans="1:2">
      <c r="A9" s="2" t="s">
        <v>345</v>
      </c>
      <c r="B9" s="2">
        <v>2900</v>
      </c>
    </row>
  </sheetData>
  <conditionalFormatting sqref="B2:B9">
    <cfRule type="cellIs" dxfId="8" priority="1" operator="greaterThanOrEqual">
      <formula>1000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41CD-85C2-47C2-8FCB-A2F1E0CB26A8}">
  <sheetPr codeName="Sheet71"/>
  <dimension ref="A1:E8"/>
  <sheetViews>
    <sheetView workbookViewId="0">
      <selection activeCell="D15" sqref="D15"/>
    </sheetView>
  </sheetViews>
  <sheetFormatPr defaultRowHeight="14.4"/>
  <cols>
    <col min="1" max="1" width="16.109375" bestFit="1" customWidth="1"/>
    <col min="2" max="2" width="15.44140625" bestFit="1" customWidth="1"/>
    <col min="4" max="4" width="18.44140625" bestFit="1" customWidth="1"/>
    <col min="5" max="5" width="14.109375" bestFit="1" customWidth="1"/>
  </cols>
  <sheetData>
    <row r="1" spans="1:5">
      <c r="A1" s="1" t="s">
        <v>726</v>
      </c>
      <c r="B1" s="1" t="s">
        <v>727</v>
      </c>
      <c r="D1" s="1" t="s">
        <v>735</v>
      </c>
      <c r="E1" s="7" t="str">
        <f>CHOOSE(3,A2,A3,A4,A5,A6,A7,A8)</f>
        <v>Subaru Outback</v>
      </c>
    </row>
    <row r="2" spans="1:5">
      <c r="A2" s="56" t="s">
        <v>728</v>
      </c>
      <c r="B2" s="2">
        <v>1</v>
      </c>
    </row>
    <row r="3" spans="1:5">
      <c r="A3" s="56" t="s">
        <v>729</v>
      </c>
      <c r="B3" s="2">
        <v>2</v>
      </c>
    </row>
    <row r="4" spans="1:5">
      <c r="A4" s="56" t="s">
        <v>730</v>
      </c>
      <c r="B4" s="2">
        <v>3</v>
      </c>
    </row>
    <row r="5" spans="1:5">
      <c r="A5" s="56" t="s">
        <v>731</v>
      </c>
      <c r="B5" s="2">
        <v>4</v>
      </c>
    </row>
    <row r="6" spans="1:5">
      <c r="A6" s="56" t="s">
        <v>732</v>
      </c>
      <c r="B6" s="2">
        <v>5</v>
      </c>
    </row>
    <row r="7" spans="1:5">
      <c r="A7" s="56" t="s">
        <v>733</v>
      </c>
      <c r="B7" s="2">
        <v>6</v>
      </c>
    </row>
    <row r="8" spans="1:5">
      <c r="A8" s="56" t="s">
        <v>734</v>
      </c>
      <c r="B8" s="2">
        <v>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30DC-EBE8-4D77-80E6-3ACBD254E88C}">
  <sheetPr codeName="Sheet72"/>
  <dimension ref="A1:D9"/>
  <sheetViews>
    <sheetView workbookViewId="0">
      <selection activeCell="D15" sqref="D15"/>
    </sheetView>
  </sheetViews>
  <sheetFormatPr defaultRowHeight="14.4"/>
  <cols>
    <col min="3" max="3" width="11.88671875" bestFit="1" customWidth="1"/>
    <col min="5" max="5" width="8.6640625" customWidth="1"/>
  </cols>
  <sheetData>
    <row r="1" spans="1:4">
      <c r="A1" s="1" t="s">
        <v>736</v>
      </c>
      <c r="C1" s="1" t="s">
        <v>737</v>
      </c>
      <c r="D1" s="2">
        <v>6</v>
      </c>
    </row>
    <row r="2" spans="1:4">
      <c r="A2" s="2" t="s">
        <v>738</v>
      </c>
      <c r="C2" s="1" t="s">
        <v>745</v>
      </c>
      <c r="D2" s="7" t="str">
        <f>CHOOSE(6,"Red","Blue","Green","Yellow","Pink","Brown","Magenta","Orange")</f>
        <v>Brown</v>
      </c>
    </row>
    <row r="3" spans="1:4">
      <c r="A3" s="2" t="s">
        <v>739</v>
      </c>
    </row>
    <row r="4" spans="1:4">
      <c r="A4" s="2" t="s">
        <v>740</v>
      </c>
    </row>
    <row r="5" spans="1:4">
      <c r="A5" s="2" t="s">
        <v>741</v>
      </c>
    </row>
    <row r="6" spans="1:4">
      <c r="A6" s="2" t="s">
        <v>742</v>
      </c>
    </row>
    <row r="7" spans="1:4">
      <c r="A7" s="2" t="s">
        <v>743</v>
      </c>
    </row>
    <row r="8" spans="1:4">
      <c r="A8" s="2" t="s">
        <v>744</v>
      </c>
    </row>
    <row r="9" spans="1:4">
      <c r="A9" s="2" t="s">
        <v>341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859B-338A-4317-AD63-7DCD3566C554}">
  <sheetPr codeName="Sheet73"/>
  <dimension ref="A1:G11"/>
  <sheetViews>
    <sheetView workbookViewId="0">
      <selection activeCell="D15" sqref="D15"/>
    </sheetView>
  </sheetViews>
  <sheetFormatPr defaultRowHeight="14.4"/>
  <cols>
    <col min="1" max="1" width="16.44140625" bestFit="1" customWidth="1"/>
    <col min="2" max="2" width="19.88671875" bestFit="1" customWidth="1"/>
    <col min="6" max="6" width="19.88671875" bestFit="1" customWidth="1"/>
    <col min="7" max="7" width="5.88671875" bestFit="1" customWidth="1"/>
  </cols>
  <sheetData>
    <row r="1" spans="1:7">
      <c r="A1" s="1" t="s">
        <v>0</v>
      </c>
      <c r="B1" s="1" t="s">
        <v>756</v>
      </c>
      <c r="C1" s="1" t="s">
        <v>1</v>
      </c>
      <c r="F1" s="368" t="s">
        <v>757</v>
      </c>
      <c r="G1" s="368"/>
    </row>
    <row r="2" spans="1:7">
      <c r="A2" s="3" t="s">
        <v>746</v>
      </c>
      <c r="B2" s="2">
        <v>95</v>
      </c>
      <c r="C2" s="57" t="str">
        <f>CHOOSE((B2&lt;=45)+(B2&lt;=60)+(B2&lt;=75)+(B2&lt;=90)+(B2&lt;=100),$G$3,$G$4,$G$5,$G$6,$G$7)</f>
        <v>A</v>
      </c>
      <c r="F2" s="1" t="s">
        <v>756</v>
      </c>
      <c r="G2" s="1" t="s">
        <v>1</v>
      </c>
    </row>
    <row r="3" spans="1:7">
      <c r="A3" s="3" t="s">
        <v>747</v>
      </c>
      <c r="B3" s="2">
        <v>91</v>
      </c>
      <c r="C3" s="57" t="str">
        <f t="shared" ref="C3:C11" si="0">CHOOSE((B3&lt;=45)+(B3&lt;=60)+(B3&lt;=75)+(B3&lt;=90)+(B3&lt;=100),$G$3,$G$4,$G$5,$G$6,$G$7)</f>
        <v>A</v>
      </c>
      <c r="F3" s="2" t="s">
        <v>759</v>
      </c>
      <c r="G3" s="2" t="s">
        <v>758</v>
      </c>
    </row>
    <row r="4" spans="1:7">
      <c r="A4" s="3" t="s">
        <v>748</v>
      </c>
      <c r="B4" s="2">
        <v>85</v>
      </c>
      <c r="C4" s="57" t="str">
        <f t="shared" si="0"/>
        <v>B</v>
      </c>
      <c r="F4" s="2" t="s">
        <v>761</v>
      </c>
      <c r="G4" s="2" t="s">
        <v>760</v>
      </c>
    </row>
    <row r="5" spans="1:7">
      <c r="A5" s="3" t="s">
        <v>749</v>
      </c>
      <c r="B5" s="2">
        <v>60</v>
      </c>
      <c r="C5" s="57" t="str">
        <f t="shared" si="0"/>
        <v>D</v>
      </c>
      <c r="F5" s="2" t="s">
        <v>763</v>
      </c>
      <c r="G5" s="2" t="s">
        <v>762</v>
      </c>
    </row>
    <row r="6" spans="1:7">
      <c r="A6" s="3" t="s">
        <v>750</v>
      </c>
      <c r="B6" s="2">
        <v>66</v>
      </c>
      <c r="C6" s="57" t="str">
        <f t="shared" si="0"/>
        <v>C</v>
      </c>
      <c r="F6" s="2" t="s">
        <v>764</v>
      </c>
      <c r="G6" s="2" t="s">
        <v>765</v>
      </c>
    </row>
    <row r="7" spans="1:7">
      <c r="A7" s="3" t="s">
        <v>751</v>
      </c>
      <c r="B7" s="2">
        <v>53</v>
      </c>
      <c r="C7" s="57" t="str">
        <f t="shared" si="0"/>
        <v>D</v>
      </c>
      <c r="F7" s="2" t="s">
        <v>766</v>
      </c>
      <c r="G7" s="2" t="s">
        <v>767</v>
      </c>
    </row>
    <row r="8" spans="1:7">
      <c r="A8" s="3" t="s">
        <v>752</v>
      </c>
      <c r="B8" s="2">
        <v>98</v>
      </c>
      <c r="C8" s="57" t="str">
        <f t="shared" si="0"/>
        <v>A</v>
      </c>
    </row>
    <row r="9" spans="1:7">
      <c r="A9" s="3" t="s">
        <v>753</v>
      </c>
      <c r="B9" s="2">
        <v>88</v>
      </c>
      <c r="C9" s="57" t="str">
        <f t="shared" si="0"/>
        <v>B</v>
      </c>
    </row>
    <row r="10" spans="1:7">
      <c r="A10" s="3" t="s">
        <v>754</v>
      </c>
      <c r="B10" s="2">
        <v>100</v>
      </c>
      <c r="C10" s="57" t="str">
        <f t="shared" si="0"/>
        <v>A</v>
      </c>
    </row>
    <row r="11" spans="1:7">
      <c r="A11" s="3" t="s">
        <v>755</v>
      </c>
      <c r="B11" s="2">
        <v>45</v>
      </c>
      <c r="C11" s="57" t="str">
        <f t="shared" si="0"/>
        <v>E</v>
      </c>
    </row>
  </sheetData>
  <mergeCells count="1">
    <mergeCell ref="F1:G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24D8-F6D2-41AE-B186-A9137E4C6209}">
  <sheetPr codeName="Sheet74"/>
  <dimension ref="A1:E7"/>
  <sheetViews>
    <sheetView workbookViewId="0">
      <selection activeCell="D15" sqref="D15"/>
    </sheetView>
  </sheetViews>
  <sheetFormatPr defaultRowHeight="14.4"/>
  <cols>
    <col min="1" max="1" width="25.88671875" bestFit="1" customWidth="1"/>
    <col min="2" max="2" width="15.88671875" bestFit="1" customWidth="1"/>
    <col min="3" max="3" width="29.109375" bestFit="1" customWidth="1"/>
    <col min="5" max="5" width="23.6640625" bestFit="1" customWidth="1"/>
  </cols>
  <sheetData>
    <row r="1" spans="1:5">
      <c r="A1" s="1" t="s">
        <v>768</v>
      </c>
      <c r="B1" s="1" t="s">
        <v>779</v>
      </c>
      <c r="C1" s="1" t="s">
        <v>780</v>
      </c>
      <c r="E1" s="58" t="s">
        <v>786</v>
      </c>
    </row>
    <row r="2" spans="1:5">
      <c r="A2" s="3" t="s">
        <v>774</v>
      </c>
      <c r="B2" s="2" t="s">
        <v>769</v>
      </c>
      <c r="C2" s="2" t="s">
        <v>781</v>
      </c>
      <c r="E2" s="7" t="str">
        <f t="shared" ref="E2:E7" si="0">CHOOSE(2,A2:A7,B2:B7,C2:C7)</f>
        <v>Stranger Things</v>
      </c>
    </row>
    <row r="3" spans="1:5">
      <c r="A3" s="3" t="s">
        <v>775</v>
      </c>
      <c r="B3" s="2" t="s">
        <v>770</v>
      </c>
      <c r="C3" s="2" t="s">
        <v>782</v>
      </c>
      <c r="E3" s="7" t="str">
        <f t="shared" si="0"/>
        <v>The Walking Dead</v>
      </c>
    </row>
    <row r="4" spans="1:5">
      <c r="A4" s="3" t="s">
        <v>776</v>
      </c>
      <c r="B4" s="2" t="s">
        <v>771</v>
      </c>
      <c r="C4" s="2" t="s">
        <v>783</v>
      </c>
      <c r="E4" s="7" t="str">
        <f t="shared" si="0"/>
        <v>13 Reasons Why</v>
      </c>
    </row>
    <row r="5" spans="1:5">
      <c r="A5" s="3" t="s">
        <v>777</v>
      </c>
      <c r="B5" s="2" t="s">
        <v>772</v>
      </c>
      <c r="C5" s="2" t="s">
        <v>784</v>
      </c>
      <c r="E5" s="7" t="str">
        <f t="shared" si="0"/>
        <v>The 100</v>
      </c>
    </row>
    <row r="6" spans="1:5">
      <c r="A6" s="2" t="s">
        <v>778</v>
      </c>
      <c r="B6" s="2" t="s">
        <v>773</v>
      </c>
      <c r="C6" s="2" t="s">
        <v>785</v>
      </c>
      <c r="E6" s="7" t="str">
        <f t="shared" si="0"/>
        <v>Riverdale</v>
      </c>
    </row>
    <row r="7" spans="1:5">
      <c r="A7" s="3" t="s">
        <v>824</v>
      </c>
      <c r="B7" s="2" t="s">
        <v>825</v>
      </c>
      <c r="C7" s="2" t="s">
        <v>826</v>
      </c>
      <c r="E7" s="7" t="str">
        <f t="shared" si="0"/>
        <v>The Flash</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89DA4-B3F1-4BF0-B2E1-EFD758BC395E}">
  <sheetPr codeName="Sheet75"/>
  <dimension ref="A1:B11"/>
  <sheetViews>
    <sheetView workbookViewId="0">
      <selection activeCell="D15" sqref="D15"/>
    </sheetView>
  </sheetViews>
  <sheetFormatPr defaultRowHeight="14.4"/>
  <cols>
    <col min="1" max="1" width="15.5546875" bestFit="1" customWidth="1"/>
    <col min="2" max="2" width="19.44140625" bestFit="1" customWidth="1"/>
  </cols>
  <sheetData>
    <row r="1" spans="1:2">
      <c r="A1" s="1" t="s">
        <v>787</v>
      </c>
      <c r="B1" s="1" t="s">
        <v>798</v>
      </c>
    </row>
    <row r="2" spans="1:2">
      <c r="A2" s="3" t="s">
        <v>788</v>
      </c>
      <c r="B2" s="7" t="str">
        <f ca="1">CHOOSE(RANDBETWEEN(1,4),"TEAM A","TEAM B","TEAM C","TEAM D")</f>
        <v>TEAM C</v>
      </c>
    </row>
    <row r="3" spans="1:2">
      <c r="A3" s="3" t="s">
        <v>789</v>
      </c>
      <c r="B3" s="7" t="str">
        <f t="shared" ref="B3:B10" ca="1" si="0">CHOOSE(RANDBETWEEN(1,4),"TEAM A","TEAM B","TEAM C","TEAM D")</f>
        <v>TEAM D</v>
      </c>
    </row>
    <row r="4" spans="1:2">
      <c r="A4" s="3" t="s">
        <v>790</v>
      </c>
      <c r="B4" s="7" t="str">
        <f t="shared" ca="1" si="0"/>
        <v>TEAM D</v>
      </c>
    </row>
    <row r="5" spans="1:2">
      <c r="A5" s="3" t="s">
        <v>791</v>
      </c>
      <c r="B5" s="7" t="str">
        <f t="shared" ca="1" si="0"/>
        <v>TEAM C</v>
      </c>
    </row>
    <row r="6" spans="1:2">
      <c r="A6" s="3" t="s">
        <v>792</v>
      </c>
      <c r="B6" s="7" t="str">
        <f t="shared" ca="1" si="0"/>
        <v>TEAM A</v>
      </c>
    </row>
    <row r="7" spans="1:2">
      <c r="A7" s="3" t="s">
        <v>793</v>
      </c>
      <c r="B7" s="7" t="str">
        <f t="shared" ca="1" si="0"/>
        <v>TEAM D</v>
      </c>
    </row>
    <row r="8" spans="1:2">
      <c r="A8" s="3" t="s">
        <v>794</v>
      </c>
      <c r="B8" s="7" t="str">
        <f t="shared" ca="1" si="0"/>
        <v>TEAM D</v>
      </c>
    </row>
    <row r="9" spans="1:2">
      <c r="A9" s="3" t="s">
        <v>795</v>
      </c>
      <c r="B9" s="7" t="str">
        <f t="shared" ca="1" si="0"/>
        <v>TEAM C</v>
      </c>
    </row>
    <row r="10" spans="1:2">
      <c r="A10" s="3" t="s">
        <v>796</v>
      </c>
      <c r="B10" s="7" t="str">
        <f t="shared" ca="1" si="0"/>
        <v>TEAM B</v>
      </c>
    </row>
    <row r="11" spans="1:2">
      <c r="A11" s="3" t="s">
        <v>797</v>
      </c>
      <c r="B11" s="7" t="str">
        <f ca="1">CHOOSE(RANDBETWEEN(1,4),"TEAM A","TEAM B","TEAM C","TEAM D")</f>
        <v>TEAM A</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FCAE-DDBF-4010-A8B6-767EF3BC5B09}">
  <sheetPr codeName="Sheet76"/>
  <dimension ref="A1:F7"/>
  <sheetViews>
    <sheetView workbookViewId="0"/>
  </sheetViews>
  <sheetFormatPr defaultRowHeight="14.4"/>
  <cols>
    <col min="1" max="1" width="8.5546875" bestFit="1" customWidth="1"/>
    <col min="2" max="2" width="18.5546875" bestFit="1" customWidth="1"/>
    <col min="3" max="3" width="15.33203125" bestFit="1" customWidth="1"/>
    <col min="5" max="5" width="14.44140625" bestFit="1" customWidth="1"/>
    <col min="6" max="6" width="15.33203125" customWidth="1"/>
  </cols>
  <sheetData>
    <row r="1" spans="1:6">
      <c r="A1" s="1" t="s">
        <v>799</v>
      </c>
      <c r="B1" s="1" t="s">
        <v>800</v>
      </c>
      <c r="C1" s="1" t="s">
        <v>155</v>
      </c>
      <c r="E1" s="1" t="s">
        <v>240</v>
      </c>
      <c r="F1" s="2" t="s">
        <v>810</v>
      </c>
    </row>
    <row r="2" spans="1:6">
      <c r="A2" s="2" t="s">
        <v>801</v>
      </c>
      <c r="B2" s="2">
        <v>50</v>
      </c>
      <c r="C2" s="2" t="s">
        <v>807</v>
      </c>
      <c r="E2" s="1" t="s">
        <v>156</v>
      </c>
      <c r="F2" s="7" t="str">
        <f>VLOOKUP(F1,CHOOSE({1,3},C2:C7,B2:B7,A2:A7),2,0)</f>
        <v>AGH_150</v>
      </c>
    </row>
    <row r="3" spans="1:6">
      <c r="A3" s="2" t="s">
        <v>802</v>
      </c>
      <c r="B3" s="2">
        <v>51</v>
      </c>
      <c r="C3" s="2" t="s">
        <v>808</v>
      </c>
    </row>
    <row r="4" spans="1:6">
      <c r="A4" s="2" t="s">
        <v>803</v>
      </c>
      <c r="B4" s="2">
        <v>52</v>
      </c>
      <c r="C4" s="2" t="s">
        <v>809</v>
      </c>
    </row>
    <row r="5" spans="1:6">
      <c r="A5" s="2" t="s">
        <v>804</v>
      </c>
      <c r="B5" s="2">
        <v>53</v>
      </c>
      <c r="C5" s="2" t="s">
        <v>810</v>
      </c>
    </row>
    <row r="6" spans="1:6">
      <c r="A6" s="2" t="s">
        <v>805</v>
      </c>
      <c r="B6" s="2">
        <v>54</v>
      </c>
      <c r="C6" s="2" t="s">
        <v>811</v>
      </c>
    </row>
    <row r="7" spans="1:6">
      <c r="A7" s="2" t="s">
        <v>806</v>
      </c>
      <c r="B7" s="2">
        <v>55</v>
      </c>
      <c r="C7" s="2" t="s">
        <v>812</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7E3B-3976-47F8-A1DF-E3AA059F0F4E}">
  <sheetPr codeName="Sheet77"/>
  <dimension ref="A1:C11"/>
  <sheetViews>
    <sheetView workbookViewId="0"/>
  </sheetViews>
  <sheetFormatPr defaultRowHeight="14.4"/>
  <cols>
    <col min="1" max="1" width="7.44140625" bestFit="1" customWidth="1"/>
    <col min="2" max="2" width="10.109375" bestFit="1" customWidth="1"/>
    <col min="3" max="3" width="11.88671875" bestFit="1" customWidth="1"/>
  </cols>
  <sheetData>
    <row r="1" spans="1:3">
      <c r="A1" s="1" t="s">
        <v>201</v>
      </c>
      <c r="B1" s="1" t="s">
        <v>706</v>
      </c>
      <c r="C1" s="1" t="s">
        <v>813</v>
      </c>
    </row>
    <row r="2" spans="1:3">
      <c r="A2" s="2" t="s">
        <v>814</v>
      </c>
      <c r="B2" s="59">
        <v>44206</v>
      </c>
      <c r="C2" s="7" t="str">
        <f>CHOOSE(MONTH(B2),"Jan","Feb","Mar","Apr","May","Jun","Jul","Aug","Sep","Oct","Nov","Dec")</f>
        <v>Jan</v>
      </c>
    </row>
    <row r="3" spans="1:3">
      <c r="A3" s="2" t="s">
        <v>815</v>
      </c>
      <c r="B3" s="59">
        <v>44211</v>
      </c>
      <c r="C3" s="7" t="str">
        <f t="shared" ref="C3:C11" si="0">CHOOSE(MONTH(B3),"Jan","Feb","Mar","Apr","May","Jun","Jul","Aug","Sep","Oct","Nov","Dec")</f>
        <v>Jan</v>
      </c>
    </row>
    <row r="4" spans="1:3">
      <c r="A4" s="2" t="s">
        <v>816</v>
      </c>
      <c r="B4" s="59">
        <v>44221</v>
      </c>
      <c r="C4" s="7" t="str">
        <f t="shared" si="0"/>
        <v>Jan</v>
      </c>
    </row>
    <row r="5" spans="1:3">
      <c r="A5" s="2" t="s">
        <v>817</v>
      </c>
      <c r="B5" s="59">
        <v>44232</v>
      </c>
      <c r="C5" s="7" t="str">
        <f t="shared" si="0"/>
        <v>Feb</v>
      </c>
    </row>
    <row r="6" spans="1:3">
      <c r="A6" s="2" t="s">
        <v>818</v>
      </c>
      <c r="B6" s="59">
        <v>44250</v>
      </c>
      <c r="C6" s="7" t="str">
        <f t="shared" si="0"/>
        <v>Feb</v>
      </c>
    </row>
    <row r="7" spans="1:3">
      <c r="A7" s="2" t="s">
        <v>819</v>
      </c>
      <c r="B7" s="59">
        <v>44258</v>
      </c>
      <c r="C7" s="7" t="str">
        <f t="shared" si="0"/>
        <v>Mar</v>
      </c>
    </row>
    <row r="8" spans="1:3">
      <c r="A8" s="2" t="s">
        <v>820</v>
      </c>
      <c r="B8" s="59">
        <v>44275</v>
      </c>
      <c r="C8" s="7" t="str">
        <f t="shared" si="0"/>
        <v>Mar</v>
      </c>
    </row>
    <row r="9" spans="1:3">
      <c r="A9" s="2" t="s">
        <v>821</v>
      </c>
      <c r="B9" s="59">
        <v>44304</v>
      </c>
      <c r="C9" s="7" t="str">
        <f t="shared" si="0"/>
        <v>Apr</v>
      </c>
    </row>
    <row r="10" spans="1:3">
      <c r="A10" s="2" t="s">
        <v>822</v>
      </c>
      <c r="B10" s="59">
        <v>44315</v>
      </c>
      <c r="C10" s="7" t="str">
        <f t="shared" si="0"/>
        <v>Apr</v>
      </c>
    </row>
    <row r="11" spans="1:3">
      <c r="A11" s="2" t="s">
        <v>823</v>
      </c>
      <c r="B11" s="59">
        <v>44338</v>
      </c>
      <c r="C11" s="7" t="str">
        <f t="shared" si="0"/>
        <v>May</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DB66-CD5A-4ABE-AEE3-6577B696CDAD}">
  <sheetPr codeName="Sheet78"/>
  <dimension ref="A1:D11"/>
  <sheetViews>
    <sheetView workbookViewId="0"/>
  </sheetViews>
  <sheetFormatPr defaultRowHeight="14.4"/>
  <cols>
    <col min="3" max="3" width="14" bestFit="1" customWidth="1"/>
    <col min="4" max="4" width="13.109375" bestFit="1" customWidth="1"/>
  </cols>
  <sheetData>
    <row r="1" spans="1:4">
      <c r="A1" s="1" t="s">
        <v>827</v>
      </c>
      <c r="B1" s="1" t="s">
        <v>828</v>
      </c>
      <c r="C1" s="1" t="s">
        <v>670</v>
      </c>
      <c r="D1" s="1" t="s">
        <v>108</v>
      </c>
    </row>
    <row r="2" spans="1:4">
      <c r="A2" s="2" t="s">
        <v>829</v>
      </c>
      <c r="B2" s="2" t="s">
        <v>286</v>
      </c>
      <c r="C2" s="59">
        <v>44480</v>
      </c>
      <c r="D2" s="60" t="str">
        <f>CHOOSE(WEEKDAY(C2),"Sunday","Monday","Tuesday","Wednesday","Thursday","Friday","Saturday")</f>
        <v>Monday</v>
      </c>
    </row>
    <row r="3" spans="1:4">
      <c r="A3" s="2" t="s">
        <v>829</v>
      </c>
      <c r="B3" s="2" t="s">
        <v>286</v>
      </c>
      <c r="C3" s="59">
        <v>44481</v>
      </c>
      <c r="D3" s="60" t="str">
        <f t="shared" ref="D3:D11" si="0">CHOOSE(WEEKDAY(C3),"Sunday","Monday","Tuesday","Wednesday","Thursday","Friday","Saturday")</f>
        <v>Tuesday</v>
      </c>
    </row>
    <row r="4" spans="1:4">
      <c r="A4" s="2" t="s">
        <v>830</v>
      </c>
      <c r="B4" s="2" t="s">
        <v>286</v>
      </c>
      <c r="C4" s="59">
        <v>44482</v>
      </c>
      <c r="D4" s="60" t="str">
        <f t="shared" si="0"/>
        <v>Wednesday</v>
      </c>
    </row>
    <row r="5" spans="1:4">
      <c r="A5" s="2" t="s">
        <v>831</v>
      </c>
      <c r="B5" s="2" t="s">
        <v>286</v>
      </c>
      <c r="C5" s="59">
        <v>44483</v>
      </c>
      <c r="D5" s="60" t="str">
        <f t="shared" si="0"/>
        <v>Thursday</v>
      </c>
    </row>
    <row r="6" spans="1:4">
      <c r="A6" s="2" t="s">
        <v>830</v>
      </c>
      <c r="B6" s="2" t="s">
        <v>286</v>
      </c>
      <c r="C6" s="59">
        <v>44484</v>
      </c>
      <c r="D6" s="60" t="str">
        <f t="shared" si="0"/>
        <v>Friday</v>
      </c>
    </row>
    <row r="7" spans="1:4">
      <c r="A7" s="2" t="s">
        <v>831</v>
      </c>
      <c r="B7" s="2" t="s">
        <v>286</v>
      </c>
      <c r="C7" s="59">
        <v>44485</v>
      </c>
      <c r="D7" s="60" t="str">
        <f t="shared" si="0"/>
        <v>Saturday</v>
      </c>
    </row>
    <row r="8" spans="1:4">
      <c r="A8" s="2" t="s">
        <v>831</v>
      </c>
      <c r="B8" s="2" t="s">
        <v>286</v>
      </c>
      <c r="C8" s="59">
        <v>44486</v>
      </c>
      <c r="D8" s="60" t="str">
        <f t="shared" si="0"/>
        <v>Sunday</v>
      </c>
    </row>
    <row r="9" spans="1:4">
      <c r="A9" s="2" t="s">
        <v>829</v>
      </c>
      <c r="B9" s="2" t="s">
        <v>286</v>
      </c>
      <c r="C9" s="59">
        <v>44487</v>
      </c>
      <c r="D9" s="60" t="str">
        <f t="shared" si="0"/>
        <v>Monday</v>
      </c>
    </row>
    <row r="10" spans="1:4">
      <c r="A10" s="2" t="s">
        <v>830</v>
      </c>
      <c r="B10" s="2" t="s">
        <v>286</v>
      </c>
      <c r="C10" s="59">
        <v>44488</v>
      </c>
      <c r="D10" s="60" t="str">
        <f t="shared" si="0"/>
        <v>Tuesday</v>
      </c>
    </row>
    <row r="11" spans="1:4">
      <c r="A11" s="2" t="s">
        <v>830</v>
      </c>
      <c r="B11" s="2" t="s">
        <v>286</v>
      </c>
      <c r="C11" s="59">
        <v>44489</v>
      </c>
      <c r="D11" s="60" t="str">
        <f t="shared" si="0"/>
        <v>Wednesday</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41CD-CF03-4536-8938-149147B1EB65}">
  <sheetPr codeName="Sheet79"/>
  <dimension ref="A1:A6"/>
  <sheetViews>
    <sheetView workbookViewId="0">
      <selection activeCell="E15" sqref="E15"/>
    </sheetView>
  </sheetViews>
  <sheetFormatPr defaultRowHeight="14.4"/>
  <cols>
    <col min="1" max="1" width="16.109375" bestFit="1" customWidth="1"/>
  </cols>
  <sheetData>
    <row r="1" spans="1:1">
      <c r="A1" s="1" t="s">
        <v>832</v>
      </c>
    </row>
    <row r="2" spans="1:1">
      <c r="A2" s="3" t="s">
        <v>833</v>
      </c>
    </row>
    <row r="3" spans="1:1">
      <c r="A3" s="3" t="s">
        <v>834</v>
      </c>
    </row>
    <row r="4" spans="1:1">
      <c r="A4" s="3" t="s">
        <v>835</v>
      </c>
    </row>
    <row r="5" spans="1:1">
      <c r="A5" s="3" t="s">
        <v>836</v>
      </c>
    </row>
    <row r="6" spans="1:1">
      <c r="A6" s="3" t="s">
        <v>837</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99FA-F703-4BD4-983E-D66EA97961F0}">
  <sheetPr codeName="Sheet80"/>
  <dimension ref="A1:D8"/>
  <sheetViews>
    <sheetView workbookViewId="0">
      <selection activeCell="E15" sqref="E15"/>
    </sheetView>
  </sheetViews>
  <sheetFormatPr defaultRowHeight="14.4"/>
  <cols>
    <col min="2" max="4" width="22.44140625" bestFit="1" customWidth="1"/>
  </cols>
  <sheetData>
    <row r="1" spans="1:4">
      <c r="A1" s="1" t="s">
        <v>32</v>
      </c>
      <c r="B1" s="1" t="s">
        <v>839</v>
      </c>
      <c r="C1" s="1" t="s">
        <v>840</v>
      </c>
      <c r="D1" s="1" t="s">
        <v>841</v>
      </c>
    </row>
    <row r="2" spans="1:4">
      <c r="A2" s="2" t="s">
        <v>307</v>
      </c>
      <c r="B2" s="2">
        <v>10000</v>
      </c>
      <c r="C2" s="2">
        <v>50000</v>
      </c>
      <c r="D2" s="2">
        <v>22000</v>
      </c>
    </row>
    <row r="3" spans="1:4">
      <c r="A3" s="2" t="s">
        <v>308</v>
      </c>
      <c r="B3" s="2">
        <v>15000</v>
      </c>
      <c r="C3" s="2">
        <v>30000</v>
      </c>
      <c r="D3" s="2">
        <v>29000</v>
      </c>
    </row>
    <row r="4" spans="1:4">
      <c r="A4" s="2" t="s">
        <v>309</v>
      </c>
      <c r="B4" s="2">
        <v>23000</v>
      </c>
      <c r="C4" s="2">
        <v>39000</v>
      </c>
      <c r="D4" s="2">
        <v>31000</v>
      </c>
    </row>
    <row r="5" spans="1:4">
      <c r="A5" s="2" t="s">
        <v>310</v>
      </c>
      <c r="B5" s="2">
        <v>21000</v>
      </c>
      <c r="C5" s="2">
        <v>40000</v>
      </c>
      <c r="D5" s="2">
        <v>45000</v>
      </c>
    </row>
    <row r="6" spans="1:4">
      <c r="A6" s="2" t="s">
        <v>51</v>
      </c>
      <c r="B6" s="2">
        <v>20000</v>
      </c>
      <c r="C6" s="2">
        <v>53000</v>
      </c>
      <c r="D6" s="2">
        <v>49000</v>
      </c>
    </row>
    <row r="7" spans="1:4">
      <c r="A7" s="2" t="s">
        <v>311</v>
      </c>
      <c r="B7" s="2">
        <v>13000</v>
      </c>
      <c r="C7" s="2">
        <v>35000</v>
      </c>
      <c r="D7" s="2">
        <v>52000</v>
      </c>
    </row>
    <row r="8" spans="1:4">
      <c r="A8" s="1" t="s">
        <v>838</v>
      </c>
      <c r="B8" s="7">
        <v>102000</v>
      </c>
      <c r="C8" s="7">
        <f>SUM(C2:C7)</f>
        <v>247000</v>
      </c>
      <c r="D8" s="7">
        <f>SUM(D2:D7)</f>
        <v>228000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4277-4E43-45DE-8391-192DA41DC309}">
  <sheetPr codeName="Sheet81"/>
  <dimension ref="A1:C11"/>
  <sheetViews>
    <sheetView workbookViewId="0">
      <selection activeCell="E15" sqref="E15"/>
    </sheetView>
  </sheetViews>
  <sheetFormatPr defaultRowHeight="14.4"/>
  <sheetData>
    <row r="1" spans="1:3">
      <c r="A1" s="1" t="s">
        <v>153</v>
      </c>
      <c r="B1" s="1" t="s">
        <v>842</v>
      </c>
      <c r="C1" s="1" t="s">
        <v>843</v>
      </c>
    </row>
    <row r="2" spans="1:3">
      <c r="A2" s="2">
        <v>1</v>
      </c>
      <c r="B2" s="2">
        <f>A2*A2</f>
        <v>1</v>
      </c>
      <c r="C2" s="2">
        <f>A2*A2*A2</f>
        <v>1</v>
      </c>
    </row>
    <row r="3" spans="1:3">
      <c r="A3" s="2">
        <v>2</v>
      </c>
      <c r="B3" s="2">
        <f t="shared" ref="B3:B11" si="0">A3*A3</f>
        <v>4</v>
      </c>
      <c r="C3" s="2">
        <f t="shared" ref="C3:C11" si="1">A3*A3*A3</f>
        <v>8</v>
      </c>
    </row>
    <row r="4" spans="1:3">
      <c r="A4" s="2">
        <v>3</v>
      </c>
      <c r="B4" s="2">
        <f t="shared" si="0"/>
        <v>9</v>
      </c>
      <c r="C4" s="2">
        <f t="shared" si="1"/>
        <v>27</v>
      </c>
    </row>
    <row r="5" spans="1:3">
      <c r="A5" s="2">
        <v>4</v>
      </c>
      <c r="B5" s="2">
        <f t="shared" si="0"/>
        <v>16</v>
      </c>
      <c r="C5" s="2">
        <f t="shared" si="1"/>
        <v>64</v>
      </c>
    </row>
    <row r="6" spans="1:3">
      <c r="A6" s="2">
        <v>5</v>
      </c>
      <c r="B6" s="2">
        <f t="shared" si="0"/>
        <v>25</v>
      </c>
      <c r="C6" s="2">
        <f t="shared" si="1"/>
        <v>125</v>
      </c>
    </row>
    <row r="7" spans="1:3">
      <c r="A7" s="2">
        <v>6</v>
      </c>
      <c r="B7" s="2">
        <f t="shared" si="0"/>
        <v>36</v>
      </c>
      <c r="C7" s="2"/>
    </row>
    <row r="8" spans="1:3">
      <c r="A8" s="2">
        <v>7</v>
      </c>
      <c r="B8" s="2">
        <f t="shared" si="0"/>
        <v>49</v>
      </c>
      <c r="C8" s="2">
        <f t="shared" si="1"/>
        <v>343</v>
      </c>
    </row>
    <row r="9" spans="1:3">
      <c r="A9" s="2">
        <v>8</v>
      </c>
      <c r="B9" s="2">
        <f t="shared" si="0"/>
        <v>64</v>
      </c>
      <c r="C9" s="2">
        <f t="shared" si="1"/>
        <v>512</v>
      </c>
    </row>
    <row r="10" spans="1:3">
      <c r="A10" s="2">
        <v>9</v>
      </c>
      <c r="B10" s="2"/>
      <c r="C10" s="2">
        <f t="shared" si="1"/>
        <v>729</v>
      </c>
    </row>
    <row r="11" spans="1:3">
      <c r="A11" s="2">
        <v>10</v>
      </c>
      <c r="B11" s="2">
        <f t="shared" si="0"/>
        <v>100</v>
      </c>
      <c r="C11" s="2">
        <f t="shared" si="1"/>
        <v>1000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8FF9-E9AE-4C67-BE15-7CEECD61B97E}">
  <sheetPr codeName="Sheet82"/>
  <dimension ref="G3:L8"/>
  <sheetViews>
    <sheetView workbookViewId="0">
      <selection activeCell="E15" sqref="E15"/>
    </sheetView>
  </sheetViews>
  <sheetFormatPr defaultRowHeight="14.4"/>
  <sheetData>
    <row r="3" spans="7:12">
      <c r="G3" s="7" t="s">
        <v>844</v>
      </c>
    </row>
    <row r="8" spans="7:12">
      <c r="L8" s="7" t="s">
        <v>845</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4F73-1986-4219-AB58-67A4A8DB338A}">
  <sheetPr codeName="Sheet83"/>
  <dimension ref="A1:T7"/>
  <sheetViews>
    <sheetView zoomScale="90" zoomScaleNormal="90" workbookViewId="0">
      <selection activeCell="E15" sqref="E15"/>
    </sheetView>
  </sheetViews>
  <sheetFormatPr defaultRowHeight="14.4"/>
  <cols>
    <col min="1" max="1" width="11.33203125" bestFit="1" customWidth="1"/>
    <col min="20" max="20" width="9.109375" bestFit="1" customWidth="1"/>
  </cols>
  <sheetData>
    <row r="1" spans="1:20">
      <c r="A1" s="1" t="s">
        <v>354</v>
      </c>
      <c r="T1" s="1" t="s">
        <v>846</v>
      </c>
    </row>
    <row r="2" spans="1:20">
      <c r="A2" s="2" t="s">
        <v>340</v>
      </c>
      <c r="T2" s="2" t="s">
        <v>848</v>
      </c>
    </row>
    <row r="3" spans="1:20">
      <c r="A3" s="2" t="s">
        <v>342</v>
      </c>
      <c r="T3" s="2" t="s">
        <v>849</v>
      </c>
    </row>
    <row r="4" spans="1:20">
      <c r="A4" s="2" t="s">
        <v>341</v>
      </c>
      <c r="T4" s="2" t="s">
        <v>850</v>
      </c>
    </row>
    <row r="5" spans="1:20">
      <c r="A5" s="2" t="s">
        <v>847</v>
      </c>
      <c r="T5" s="2" t="s">
        <v>851</v>
      </c>
    </row>
    <row r="6" spans="1:20">
      <c r="A6" s="2" t="s">
        <v>345</v>
      </c>
      <c r="T6" s="2" t="s">
        <v>852</v>
      </c>
    </row>
    <row r="7" spans="1:20">
      <c r="A7" s="2" t="s">
        <v>343</v>
      </c>
      <c r="T7" s="2" t="s">
        <v>853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9FC6-2DC2-4615-9DFA-3161C1E9993E}">
  <sheetPr codeName="Sheet84"/>
  <dimension ref="A1:J7"/>
  <sheetViews>
    <sheetView workbookViewId="0">
      <selection activeCell="C2" sqref="C2"/>
    </sheetView>
  </sheetViews>
  <sheetFormatPr defaultRowHeight="14.4"/>
  <cols>
    <col min="1" max="1" width="5.5546875" bestFit="1" customWidth="1"/>
    <col min="2" max="2" width="10.44140625" bestFit="1" customWidth="1"/>
    <col min="3" max="3" width="12" bestFit="1" customWidth="1"/>
    <col min="8" max="8" width="5.5546875" bestFit="1" customWidth="1"/>
    <col min="9" max="9" width="10.44140625" bestFit="1" customWidth="1"/>
    <col min="10" max="10" width="12" bestFit="1" customWidth="1"/>
  </cols>
  <sheetData>
    <row r="1" spans="1:10">
      <c r="A1" s="369" t="s">
        <v>854</v>
      </c>
      <c r="B1" s="369"/>
      <c r="C1" s="369"/>
      <c r="H1" s="369" t="s">
        <v>855</v>
      </c>
      <c r="I1" s="369"/>
      <c r="J1" s="369"/>
    </row>
    <row r="2" spans="1:10">
      <c r="A2" s="1" t="s">
        <v>856</v>
      </c>
      <c r="B2" s="1" t="s">
        <v>857</v>
      </c>
      <c r="C2" s="1" t="s">
        <v>858</v>
      </c>
      <c r="H2" s="1" t="s">
        <v>856</v>
      </c>
      <c r="I2" s="1" t="s">
        <v>857</v>
      </c>
      <c r="J2" s="1" t="s">
        <v>858</v>
      </c>
    </row>
    <row r="3" spans="1:10">
      <c r="A3" s="2" t="s">
        <v>859</v>
      </c>
      <c r="B3" s="2">
        <v>2000</v>
      </c>
      <c r="C3" s="2">
        <v>100</v>
      </c>
      <c r="H3" s="2" t="s">
        <v>859</v>
      </c>
      <c r="I3" s="2">
        <v>2500</v>
      </c>
      <c r="J3" s="2">
        <v>95</v>
      </c>
    </row>
    <row r="4" spans="1:10">
      <c r="A4" s="2" t="s">
        <v>860</v>
      </c>
      <c r="B4" s="2">
        <v>2150</v>
      </c>
      <c r="C4" s="2">
        <v>90</v>
      </c>
      <c r="H4" s="2" t="s">
        <v>860</v>
      </c>
      <c r="I4" s="2">
        <v>2300</v>
      </c>
      <c r="J4" s="2">
        <v>105</v>
      </c>
    </row>
    <row r="5" spans="1:10">
      <c r="A5" s="2" t="s">
        <v>861</v>
      </c>
      <c r="B5" s="2">
        <v>2200</v>
      </c>
      <c r="C5" s="2">
        <v>120</v>
      </c>
      <c r="H5" s="2" t="s">
        <v>861</v>
      </c>
      <c r="I5" s="2">
        <v>2900</v>
      </c>
      <c r="J5" s="2">
        <v>100</v>
      </c>
    </row>
    <row r="6" spans="1:10">
      <c r="A6" s="2" t="s">
        <v>862</v>
      </c>
      <c r="B6" s="2">
        <v>1900</v>
      </c>
      <c r="C6" s="2">
        <v>50</v>
      </c>
      <c r="H6" s="2" t="s">
        <v>862</v>
      </c>
      <c r="I6" s="2">
        <v>3000</v>
      </c>
      <c r="J6" s="2">
        <v>88</v>
      </c>
    </row>
    <row r="7" spans="1:10">
      <c r="A7" s="2" t="s">
        <v>863</v>
      </c>
      <c r="B7" s="2">
        <v>1500</v>
      </c>
      <c r="C7" s="2">
        <v>30</v>
      </c>
    </row>
  </sheetData>
  <mergeCells count="2">
    <mergeCell ref="A1:C1"/>
    <mergeCell ref="H1:J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7BCC-3D26-44B2-A495-B23C3CAE229C}">
  <sheetPr codeName="Sheet85"/>
  <dimension ref="A1:A12"/>
  <sheetViews>
    <sheetView workbookViewId="0">
      <selection activeCell="C2" sqref="C2"/>
    </sheetView>
  </sheetViews>
  <sheetFormatPr defaultRowHeight="14.4"/>
  <cols>
    <col min="1" max="1" width="12.33203125" bestFit="1" customWidth="1"/>
  </cols>
  <sheetData>
    <row r="1" spans="1:1">
      <c r="A1" s="1" t="s">
        <v>864</v>
      </c>
    </row>
    <row r="2" spans="1:1">
      <c r="A2" s="2" t="s">
        <v>544</v>
      </c>
    </row>
    <row r="3" spans="1:1">
      <c r="A3" s="2" t="s">
        <v>865</v>
      </c>
    </row>
    <row r="4" spans="1:1">
      <c r="A4" s="2" t="s">
        <v>547</v>
      </c>
    </row>
    <row r="5" spans="1:1">
      <c r="A5" s="2" t="s">
        <v>545</v>
      </c>
    </row>
    <row r="6" spans="1:1">
      <c r="A6" s="2" t="s">
        <v>866</v>
      </c>
    </row>
    <row r="7" spans="1:1">
      <c r="A7" s="2" t="s">
        <v>548</v>
      </c>
    </row>
    <row r="8" spans="1:1">
      <c r="A8" s="2" t="s">
        <v>549</v>
      </c>
    </row>
    <row r="9" spans="1:1">
      <c r="A9" s="2" t="s">
        <v>867</v>
      </c>
    </row>
    <row r="10" spans="1:1">
      <c r="A10" s="2" t="s">
        <v>868</v>
      </c>
    </row>
    <row r="11" spans="1:1">
      <c r="A11" s="2" t="s">
        <v>870</v>
      </c>
    </row>
    <row r="12" spans="1:1">
      <c r="A12" s="2" t="s">
        <v>869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BDAC-AE99-47E8-A072-08C6A6EC42B1}">
  <sheetPr codeName="Sheet86"/>
  <dimension ref="A1:I5"/>
  <sheetViews>
    <sheetView zoomScale="90" zoomScaleNormal="90" workbookViewId="0">
      <selection activeCell="C2" sqref="C2"/>
    </sheetView>
  </sheetViews>
  <sheetFormatPr defaultRowHeight="14.4"/>
  <cols>
    <col min="1" max="1" width="10.109375" bestFit="1" customWidth="1"/>
    <col min="2" max="9" width="17.109375" bestFit="1" customWidth="1"/>
  </cols>
  <sheetData>
    <row r="1" spans="1:9">
      <c r="A1" s="370" t="s">
        <v>871</v>
      </c>
      <c r="B1" s="371">
        <v>2018</v>
      </c>
      <c r="C1" s="372"/>
      <c r="D1" s="372"/>
      <c r="E1" s="373"/>
      <c r="F1" s="371">
        <v>2019</v>
      </c>
      <c r="G1" s="372"/>
      <c r="H1" s="372"/>
      <c r="I1" s="373"/>
    </row>
    <row r="2" spans="1:9">
      <c r="A2" s="368"/>
      <c r="B2" s="1" t="s">
        <v>872</v>
      </c>
      <c r="C2" s="1" t="s">
        <v>873</v>
      </c>
      <c r="D2" s="1" t="s">
        <v>874</v>
      </c>
      <c r="E2" s="1" t="s">
        <v>875</v>
      </c>
      <c r="F2" s="1" t="s">
        <v>872</v>
      </c>
      <c r="G2" s="1" t="s">
        <v>873</v>
      </c>
      <c r="H2" s="1" t="s">
        <v>874</v>
      </c>
      <c r="I2" s="1" t="s">
        <v>875</v>
      </c>
    </row>
    <row r="3" spans="1:9">
      <c r="A3" s="2" t="s">
        <v>876</v>
      </c>
      <c r="B3" s="2">
        <v>50000</v>
      </c>
      <c r="C3" s="2">
        <v>61000</v>
      </c>
      <c r="D3" s="2">
        <v>75000</v>
      </c>
      <c r="E3" s="2">
        <v>55000</v>
      </c>
      <c r="F3" s="2">
        <v>1000000</v>
      </c>
      <c r="G3" s="2">
        <v>1500000</v>
      </c>
      <c r="H3" s="2">
        <v>2800000</v>
      </c>
      <c r="I3" s="2">
        <v>4800000</v>
      </c>
    </row>
    <row r="4" spans="1:9">
      <c r="A4" s="2" t="s">
        <v>877</v>
      </c>
      <c r="B4" s="2">
        <v>80000</v>
      </c>
      <c r="C4" s="2">
        <v>90000</v>
      </c>
      <c r="D4" s="2">
        <v>100000</v>
      </c>
      <c r="E4" s="2">
        <v>200000</v>
      </c>
      <c r="F4" s="2">
        <v>2000000</v>
      </c>
      <c r="G4" s="2">
        <v>2900000</v>
      </c>
      <c r="H4" s="2">
        <v>3500000</v>
      </c>
      <c r="I4" s="2">
        <v>4000000</v>
      </c>
    </row>
    <row r="5" spans="1:9">
      <c r="A5" s="2" t="s">
        <v>878</v>
      </c>
      <c r="B5" s="2">
        <v>68000</v>
      </c>
      <c r="C5" s="2">
        <v>89000</v>
      </c>
      <c r="D5" s="2">
        <v>400000</v>
      </c>
      <c r="E5" s="2">
        <v>500000</v>
      </c>
      <c r="F5" s="2">
        <v>5000000</v>
      </c>
      <c r="G5" s="2">
        <v>5700000</v>
      </c>
      <c r="H5" s="2">
        <v>6600000</v>
      </c>
      <c r="I5" s="2">
        <v>8000000</v>
      </c>
    </row>
  </sheetData>
  <mergeCells count="3">
    <mergeCell ref="A1:A2"/>
    <mergeCell ref="B1:E1"/>
    <mergeCell ref="F1:I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8E7F-9828-4AED-AD9A-98EDF53760B4}">
  <sheetPr codeName="Sheet87"/>
  <dimension ref="A1:B12"/>
  <sheetViews>
    <sheetView workbookViewId="0">
      <selection activeCell="C2" sqref="C2"/>
    </sheetView>
  </sheetViews>
  <sheetFormatPr defaultRowHeight="14.4"/>
  <cols>
    <col min="1" max="1" width="17.44140625" bestFit="1" customWidth="1"/>
    <col min="2" max="2" width="15.6640625" bestFit="1" customWidth="1"/>
  </cols>
  <sheetData>
    <row r="1" spans="1:2">
      <c r="A1" s="1" t="s">
        <v>155</v>
      </c>
      <c r="B1" s="1" t="s">
        <v>34</v>
      </c>
    </row>
    <row r="2" spans="1:2">
      <c r="A2" s="3" t="s">
        <v>879</v>
      </c>
      <c r="B2" s="2">
        <v>80000</v>
      </c>
    </row>
    <row r="3" spans="1:2">
      <c r="A3" s="3" t="s">
        <v>880</v>
      </c>
      <c r="B3" s="2">
        <v>100000</v>
      </c>
    </row>
    <row r="4" spans="1:2">
      <c r="A4" s="3" t="s">
        <v>881</v>
      </c>
      <c r="B4" s="2">
        <v>75000</v>
      </c>
    </row>
    <row r="5" spans="1:2">
      <c r="A5" s="3" t="s">
        <v>882</v>
      </c>
      <c r="B5" s="2">
        <v>76000</v>
      </c>
    </row>
    <row r="6" spans="1:2">
      <c r="A6" s="3" t="s">
        <v>883</v>
      </c>
      <c r="B6" s="2">
        <v>88000</v>
      </c>
    </row>
    <row r="7" spans="1:2">
      <c r="A7" s="3" t="s">
        <v>884</v>
      </c>
      <c r="B7" s="2">
        <v>110000</v>
      </c>
    </row>
    <row r="8" spans="1:2">
      <c r="A8" s="3" t="s">
        <v>885</v>
      </c>
      <c r="B8" s="2">
        <v>90000</v>
      </c>
    </row>
    <row r="9" spans="1:2">
      <c r="A9" s="3" t="s">
        <v>886</v>
      </c>
      <c r="B9" s="2">
        <v>93000</v>
      </c>
    </row>
    <row r="10" spans="1:2">
      <c r="A10" s="3" t="s">
        <v>887</v>
      </c>
      <c r="B10" s="2">
        <v>65000</v>
      </c>
    </row>
    <row r="11" spans="1:2">
      <c r="A11" s="3" t="s">
        <v>888</v>
      </c>
      <c r="B11" s="2">
        <v>60000</v>
      </c>
    </row>
    <row r="12" spans="1:2">
      <c r="A12" s="3" t="s">
        <v>889</v>
      </c>
      <c r="B12" s="2">
        <v>84000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DE07-75BB-48F2-8350-270D98714FC3}">
  <sheetPr codeName="Sheet88"/>
  <dimension ref="A1:F6"/>
  <sheetViews>
    <sheetView workbookViewId="0">
      <selection activeCell="B17" sqref="B17"/>
    </sheetView>
  </sheetViews>
  <sheetFormatPr defaultRowHeight="14.4"/>
  <cols>
    <col min="1" max="1" width="18.44140625" bestFit="1" customWidth="1"/>
    <col min="2" max="2" width="16.44140625" bestFit="1" customWidth="1"/>
    <col min="5" max="5" width="32.33203125" bestFit="1" customWidth="1"/>
    <col min="6" max="6" width="33.88671875" bestFit="1" customWidth="1"/>
  </cols>
  <sheetData>
    <row r="1" spans="1:6">
      <c r="A1" s="1" t="s">
        <v>0</v>
      </c>
      <c r="B1" s="1" t="s">
        <v>288</v>
      </c>
      <c r="D1" s="1" t="s">
        <v>890</v>
      </c>
      <c r="E1" s="1" t="s">
        <v>898</v>
      </c>
      <c r="F1" s="1" t="s">
        <v>897</v>
      </c>
    </row>
    <row r="2" spans="1:6">
      <c r="A2" s="3" t="s">
        <v>892</v>
      </c>
      <c r="B2" s="2">
        <v>95</v>
      </c>
      <c r="D2" s="2">
        <v>40</v>
      </c>
      <c r="E2" s="2" t="s">
        <v>914</v>
      </c>
      <c r="F2" s="7">
        <f t="array" ref="F2:F6">FREQUENCY(B2:B6,D2:D5)</f>
        <v>0</v>
      </c>
    </row>
    <row r="3" spans="1:6">
      <c r="A3" s="3" t="s">
        <v>893</v>
      </c>
      <c r="B3" s="2">
        <v>88</v>
      </c>
      <c r="D3" s="2">
        <v>55</v>
      </c>
      <c r="E3" s="2" t="s">
        <v>915</v>
      </c>
      <c r="F3" s="7">
        <v>1</v>
      </c>
    </row>
    <row r="4" spans="1:6">
      <c r="A4" s="3" t="s">
        <v>894</v>
      </c>
      <c r="B4" s="2">
        <v>45</v>
      </c>
      <c r="D4" s="2">
        <v>70</v>
      </c>
      <c r="E4" s="2" t="s">
        <v>916</v>
      </c>
      <c r="F4" s="7">
        <v>1</v>
      </c>
    </row>
    <row r="5" spans="1:6">
      <c r="A5" s="3" t="s">
        <v>895</v>
      </c>
      <c r="B5" s="2">
        <v>73</v>
      </c>
      <c r="D5" s="2">
        <v>85</v>
      </c>
      <c r="E5" s="2" t="s">
        <v>917</v>
      </c>
      <c r="F5" s="7">
        <v>1</v>
      </c>
    </row>
    <row r="6" spans="1:6">
      <c r="A6" s="3" t="s">
        <v>896</v>
      </c>
      <c r="B6" s="2">
        <v>64</v>
      </c>
      <c r="E6" s="61" t="s">
        <v>891</v>
      </c>
      <c r="F6" s="7">
        <v>2</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AF96-0613-4D36-89E8-648CB42274A3}">
  <sheetPr codeName="Sheet89"/>
  <dimension ref="A1:F11"/>
  <sheetViews>
    <sheetView workbookViewId="0">
      <selection activeCell="B17" sqref="B17"/>
    </sheetView>
  </sheetViews>
  <sheetFormatPr defaultRowHeight="14.4"/>
  <cols>
    <col min="5" max="5" width="20.44140625" bestFit="1" customWidth="1"/>
    <col min="6" max="6" width="36.5546875" bestFit="1" customWidth="1"/>
  </cols>
  <sheetData>
    <row r="1" spans="1:6">
      <c r="A1" s="1" t="s">
        <v>902</v>
      </c>
      <c r="B1" s="1" t="s">
        <v>899</v>
      </c>
      <c r="D1" s="1" t="s">
        <v>900</v>
      </c>
      <c r="E1" s="1" t="s">
        <v>901</v>
      </c>
      <c r="F1" s="1" t="s">
        <v>913</v>
      </c>
    </row>
    <row r="2" spans="1:6">
      <c r="A2" s="2" t="s">
        <v>903</v>
      </c>
      <c r="B2" s="2">
        <v>25</v>
      </c>
      <c r="D2" s="2">
        <v>20</v>
      </c>
      <c r="E2" s="2" t="s">
        <v>918</v>
      </c>
      <c r="F2" s="7">
        <f t="array" ref="F2:F7">FREQUENCY(B2:B11,D2:D7)</f>
        <v>0</v>
      </c>
    </row>
    <row r="3" spans="1:6">
      <c r="A3" s="2" t="s">
        <v>904</v>
      </c>
      <c r="B3" s="2">
        <v>33</v>
      </c>
      <c r="D3" s="2">
        <v>25</v>
      </c>
      <c r="E3" s="2" t="s">
        <v>919</v>
      </c>
      <c r="F3" s="7">
        <v>3</v>
      </c>
    </row>
    <row r="4" spans="1:6">
      <c r="A4" s="2" t="s">
        <v>905</v>
      </c>
      <c r="B4" s="2">
        <v>38</v>
      </c>
      <c r="D4" s="2">
        <v>30</v>
      </c>
      <c r="E4" s="2" t="s">
        <v>920</v>
      </c>
      <c r="F4" s="7">
        <v>2</v>
      </c>
    </row>
    <row r="5" spans="1:6">
      <c r="A5" s="2" t="s">
        <v>906</v>
      </c>
      <c r="B5" s="2">
        <v>23</v>
      </c>
      <c r="D5" s="2">
        <v>35</v>
      </c>
      <c r="E5" s="2" t="s">
        <v>921</v>
      </c>
      <c r="F5" s="7">
        <v>2</v>
      </c>
    </row>
    <row r="6" spans="1:6">
      <c r="A6" s="2" t="s">
        <v>907</v>
      </c>
      <c r="B6" s="2">
        <v>35</v>
      </c>
      <c r="D6" s="2">
        <v>40</v>
      </c>
      <c r="E6" s="2" t="s">
        <v>922</v>
      </c>
      <c r="F6" s="7">
        <v>1</v>
      </c>
    </row>
    <row r="7" spans="1:6">
      <c r="A7" s="2" t="s">
        <v>908</v>
      </c>
      <c r="B7" s="2">
        <v>42</v>
      </c>
      <c r="D7" s="2">
        <v>45</v>
      </c>
      <c r="E7" s="2" t="s">
        <v>923</v>
      </c>
      <c r="F7" s="7">
        <v>2</v>
      </c>
    </row>
    <row r="8" spans="1:6">
      <c r="A8" s="2" t="s">
        <v>909</v>
      </c>
      <c r="B8" s="2">
        <v>29</v>
      </c>
    </row>
    <row r="9" spans="1:6">
      <c r="A9" s="2" t="s">
        <v>910</v>
      </c>
      <c r="B9" s="2">
        <v>30</v>
      </c>
    </row>
    <row r="10" spans="1:6">
      <c r="A10" s="2" t="s">
        <v>911</v>
      </c>
      <c r="B10" s="2">
        <v>45</v>
      </c>
    </row>
    <row r="11" spans="1:6">
      <c r="A11" s="2" t="s">
        <v>912</v>
      </c>
      <c r="B11" s="2">
        <v>22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D85D-2BE6-4C21-B453-28E3E4710FA6}">
  <sheetPr codeName="Sheet90"/>
  <dimension ref="A1:E16"/>
  <sheetViews>
    <sheetView workbookViewId="0">
      <selection activeCell="B17" sqref="B17"/>
    </sheetView>
  </sheetViews>
  <sheetFormatPr defaultRowHeight="14.4"/>
  <cols>
    <col min="1" max="1" width="13.109375" bestFit="1" customWidth="1"/>
    <col min="2" max="2" width="19.33203125" bestFit="1" customWidth="1"/>
    <col min="4" max="4" width="23.33203125" bestFit="1" customWidth="1"/>
    <col min="5" max="5" width="21.44140625" bestFit="1" customWidth="1"/>
  </cols>
  <sheetData>
    <row r="1" spans="1:5">
      <c r="A1" s="1" t="s">
        <v>924</v>
      </c>
      <c r="B1" s="1" t="s">
        <v>940</v>
      </c>
      <c r="D1" s="1" t="s">
        <v>941</v>
      </c>
      <c r="E1" s="25" t="s">
        <v>942</v>
      </c>
    </row>
    <row r="2" spans="1:5">
      <c r="A2" s="45" t="s">
        <v>925</v>
      </c>
      <c r="B2" s="2">
        <v>4</v>
      </c>
      <c r="D2" s="2">
        <v>3</v>
      </c>
      <c r="E2" s="7">
        <f>FREQUENCY(B2:B16,D2)</f>
        <v>7</v>
      </c>
    </row>
    <row r="3" spans="1:5">
      <c r="A3" s="45" t="s">
        <v>926</v>
      </c>
      <c r="B3" s="2">
        <v>4</v>
      </c>
    </row>
    <row r="4" spans="1:5">
      <c r="A4" s="45" t="s">
        <v>927</v>
      </c>
      <c r="B4" s="2">
        <v>4</v>
      </c>
    </row>
    <row r="5" spans="1:5">
      <c r="A5" s="45" t="s">
        <v>928</v>
      </c>
      <c r="B5" s="2">
        <v>3</v>
      </c>
    </row>
    <row r="6" spans="1:5">
      <c r="A6" s="45" t="s">
        <v>929</v>
      </c>
      <c r="B6" s="2">
        <v>3</v>
      </c>
    </row>
    <row r="7" spans="1:5">
      <c r="A7" s="45" t="s">
        <v>930</v>
      </c>
      <c r="B7" s="2">
        <v>4</v>
      </c>
    </row>
    <row r="8" spans="1:5">
      <c r="A8" s="45" t="s">
        <v>931</v>
      </c>
      <c r="B8" s="2">
        <v>3</v>
      </c>
    </row>
    <row r="9" spans="1:5">
      <c r="A9" s="45" t="s">
        <v>932</v>
      </c>
      <c r="B9" s="2">
        <v>3</v>
      </c>
    </row>
    <row r="10" spans="1:5">
      <c r="A10" s="45" t="s">
        <v>933</v>
      </c>
      <c r="B10" s="2">
        <v>3</v>
      </c>
    </row>
    <row r="11" spans="1:5">
      <c r="A11" s="45" t="s">
        <v>934</v>
      </c>
      <c r="B11" s="2">
        <v>4</v>
      </c>
    </row>
    <row r="12" spans="1:5">
      <c r="A12" s="45" t="s">
        <v>935</v>
      </c>
      <c r="B12" s="2">
        <v>4</v>
      </c>
    </row>
    <row r="13" spans="1:5">
      <c r="A13" s="45" t="s">
        <v>936</v>
      </c>
      <c r="B13" s="2">
        <v>4</v>
      </c>
    </row>
    <row r="14" spans="1:5">
      <c r="A14" s="45" t="s">
        <v>937</v>
      </c>
      <c r="B14" s="2">
        <v>3</v>
      </c>
    </row>
    <row r="15" spans="1:5">
      <c r="A15" s="45" t="s">
        <v>938</v>
      </c>
      <c r="B15" s="2">
        <v>4</v>
      </c>
    </row>
    <row r="16" spans="1:5">
      <c r="A16" s="45" t="s">
        <v>939</v>
      </c>
      <c r="B16" s="2">
        <v>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B9CE-E2F5-4FB5-8263-C5778102A47A}">
  <sheetPr codeName="Sheet91"/>
  <dimension ref="A1:B19"/>
  <sheetViews>
    <sheetView workbookViewId="0">
      <selection activeCell="B17" sqref="B17"/>
    </sheetView>
  </sheetViews>
  <sheetFormatPr defaultRowHeight="14.4"/>
  <cols>
    <col min="1" max="1" width="11.88671875" bestFit="1" customWidth="1"/>
    <col min="2" max="2" width="12.109375" bestFit="1" customWidth="1"/>
  </cols>
  <sheetData>
    <row r="1" spans="1:2">
      <c r="A1" s="1" t="s">
        <v>229</v>
      </c>
      <c r="B1" s="1" t="s">
        <v>130</v>
      </c>
    </row>
    <row r="2" spans="1:2">
      <c r="A2" s="2">
        <v>165</v>
      </c>
      <c r="B2" s="2" t="s">
        <v>341</v>
      </c>
    </row>
    <row r="3" spans="1:2">
      <c r="A3" s="2">
        <v>143</v>
      </c>
      <c r="B3" s="2" t="s">
        <v>342</v>
      </c>
    </row>
    <row r="4" spans="1:2">
      <c r="A4" s="2">
        <v>139</v>
      </c>
      <c r="B4" s="2" t="s">
        <v>340</v>
      </c>
    </row>
    <row r="5" spans="1:2">
      <c r="A5" s="2">
        <v>143</v>
      </c>
      <c r="B5" s="2" t="s">
        <v>342</v>
      </c>
    </row>
    <row r="6" spans="1:2">
      <c r="A6" s="2">
        <v>165</v>
      </c>
      <c r="B6" s="2" t="s">
        <v>341</v>
      </c>
    </row>
    <row r="7" spans="1:2">
      <c r="A7" s="2">
        <v>140</v>
      </c>
      <c r="B7" s="2" t="s">
        <v>943</v>
      </c>
    </row>
    <row r="8" spans="1:2">
      <c r="A8" s="2">
        <v>139</v>
      </c>
      <c r="B8" s="2" t="s">
        <v>340</v>
      </c>
    </row>
    <row r="9" spans="1:2">
      <c r="A9" s="2">
        <v>153</v>
      </c>
      <c r="B9" s="2" t="s">
        <v>944</v>
      </c>
    </row>
    <row r="10" spans="1:2">
      <c r="A10" s="2">
        <v>194</v>
      </c>
      <c r="B10" s="2" t="s">
        <v>343</v>
      </c>
    </row>
    <row r="11" spans="1:2">
      <c r="A11" s="2">
        <v>156</v>
      </c>
      <c r="B11" s="2" t="s">
        <v>345</v>
      </c>
    </row>
    <row r="12" spans="1:2">
      <c r="A12" s="2">
        <v>139</v>
      </c>
      <c r="B12" s="2" t="s">
        <v>340</v>
      </c>
    </row>
    <row r="13" spans="1:2">
      <c r="A13" s="2">
        <v>194</v>
      </c>
      <c r="B13" s="2" t="s">
        <v>343</v>
      </c>
    </row>
    <row r="14" spans="1:2">
      <c r="A14" s="2">
        <v>133</v>
      </c>
      <c r="B14" s="2" t="s">
        <v>945</v>
      </c>
    </row>
    <row r="15" spans="1:2">
      <c r="A15" s="2">
        <v>134</v>
      </c>
      <c r="B15" s="2" t="s">
        <v>946</v>
      </c>
    </row>
    <row r="16" spans="1:2">
      <c r="A16" s="2">
        <v>197</v>
      </c>
      <c r="B16" s="2" t="s">
        <v>947</v>
      </c>
    </row>
    <row r="19" spans="1:2">
      <c r="A19" s="1" t="s">
        <v>948</v>
      </c>
      <c r="B19" s="7">
        <f>SUM(IF(FREQUENCY(A2:A16,A2:A16)&gt;0,1,0))</f>
        <v>10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09C9-2561-43AD-97D7-F6D9B5B13CD0}">
  <sheetPr codeName="Sheet92"/>
  <dimension ref="A1:H8"/>
  <sheetViews>
    <sheetView workbookViewId="0">
      <selection activeCell="B17" sqref="B17"/>
    </sheetView>
  </sheetViews>
  <sheetFormatPr defaultRowHeight="14.4"/>
  <cols>
    <col min="1" max="1" width="11" bestFit="1" customWidth="1"/>
    <col min="2" max="2" width="14.33203125" bestFit="1" customWidth="1"/>
    <col min="5" max="5" width="25.44140625" bestFit="1" customWidth="1"/>
    <col min="6" max="6" width="13.6640625" bestFit="1" customWidth="1"/>
    <col min="7" max="7" width="19.109375" bestFit="1" customWidth="1"/>
    <col min="8" max="8" width="38.5546875" bestFit="1" customWidth="1"/>
  </cols>
  <sheetData>
    <row r="1" spans="1:8">
      <c r="A1" s="1" t="s">
        <v>949</v>
      </c>
      <c r="B1" s="1" t="s">
        <v>950</v>
      </c>
      <c r="D1" s="1" t="s">
        <v>900</v>
      </c>
      <c r="E1" s="25" t="s">
        <v>956</v>
      </c>
      <c r="F1" s="1" t="s">
        <v>957</v>
      </c>
      <c r="G1" s="1" t="s">
        <v>959</v>
      </c>
      <c r="H1" s="1" t="s">
        <v>958</v>
      </c>
    </row>
    <row r="2" spans="1:8">
      <c r="A2" s="2">
        <v>1</v>
      </c>
      <c r="B2" s="2">
        <v>62</v>
      </c>
      <c r="D2" s="2">
        <v>57</v>
      </c>
      <c r="E2" s="2" t="s">
        <v>951</v>
      </c>
      <c r="F2" s="2">
        <f t="array" ref="F2:F6">FREQUENCY(B2:B8,D2:D6)</f>
        <v>1</v>
      </c>
      <c r="G2" s="15">
        <f>F2/SUM($F$2:$F$6)</f>
        <v>0.14285714285714285</v>
      </c>
      <c r="H2" s="62">
        <f>SUM(F$2:F2)/SUM(F$2:F$6)</f>
        <v>0.14285714285714285</v>
      </c>
    </row>
    <row r="3" spans="1:8">
      <c r="A3" s="2">
        <v>2</v>
      </c>
      <c r="B3" s="2">
        <v>58</v>
      </c>
      <c r="D3" s="2">
        <v>59</v>
      </c>
      <c r="E3" s="2" t="s">
        <v>952</v>
      </c>
      <c r="F3" s="2">
        <v>1</v>
      </c>
      <c r="G3" s="15">
        <f>F3/SUM($F$2:$F$6)</f>
        <v>0.14285714285714285</v>
      </c>
      <c r="H3" s="62">
        <f>SUM(F$2:F3)/SUM(F$2:F$6)</f>
        <v>0.2857142857142857</v>
      </c>
    </row>
    <row r="4" spans="1:8">
      <c r="A4" s="2">
        <v>3</v>
      </c>
      <c r="B4" s="2">
        <v>61</v>
      </c>
      <c r="D4" s="2">
        <v>61</v>
      </c>
      <c r="E4" s="2" t="s">
        <v>953</v>
      </c>
      <c r="F4" s="2">
        <v>2</v>
      </c>
      <c r="G4" s="15">
        <f>F4/SUM($F$2:$F$6)</f>
        <v>0.2857142857142857</v>
      </c>
      <c r="H4" s="62">
        <f>SUM(F$2:F4)/SUM(F$2:F$6)</f>
        <v>0.5714285714285714</v>
      </c>
    </row>
    <row r="5" spans="1:8">
      <c r="A5" s="2">
        <v>4</v>
      </c>
      <c r="B5" s="2">
        <v>64</v>
      </c>
      <c r="D5" s="2">
        <v>63</v>
      </c>
      <c r="E5" s="2" t="s">
        <v>954</v>
      </c>
      <c r="F5" s="2">
        <v>1</v>
      </c>
      <c r="G5" s="15">
        <f>F5/SUM($F$2:$F$6)</f>
        <v>0.14285714285714285</v>
      </c>
      <c r="H5" s="62">
        <f>SUM(F$2:F5)/SUM(F$2:F$6)</f>
        <v>0.7142857142857143</v>
      </c>
    </row>
    <row r="6" spans="1:8">
      <c r="A6" s="2">
        <v>5</v>
      </c>
      <c r="B6" s="2">
        <v>65</v>
      </c>
      <c r="D6" s="2">
        <v>65</v>
      </c>
      <c r="E6" s="2" t="s">
        <v>955</v>
      </c>
      <c r="F6" s="2">
        <v>2</v>
      </c>
      <c r="G6" s="15">
        <f>F6/SUM($F$2:$F$6)</f>
        <v>0.2857142857142857</v>
      </c>
      <c r="H6" s="62">
        <f>SUM(F$2:F6)/SUM(F$2:F$6)</f>
        <v>1</v>
      </c>
    </row>
    <row r="7" spans="1:8">
      <c r="A7" s="2">
        <v>6</v>
      </c>
      <c r="B7" s="2">
        <v>57</v>
      </c>
    </row>
    <row r="8" spans="1:8">
      <c r="A8" s="2">
        <v>7</v>
      </c>
      <c r="B8" s="2">
        <v>60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947-5B99-47E9-8C01-B216828D375D}">
  <sheetPr codeName="Sheet93"/>
  <dimension ref="A1:E11"/>
  <sheetViews>
    <sheetView workbookViewId="0"/>
  </sheetViews>
  <sheetFormatPr defaultRowHeight="14.4"/>
  <cols>
    <col min="1" max="1" width="12.109375" bestFit="1" customWidth="1"/>
    <col min="4" max="4" width="20.6640625" bestFit="1" customWidth="1"/>
    <col min="5" max="5" width="15.44140625" bestFit="1" customWidth="1"/>
  </cols>
  <sheetData>
    <row r="1" spans="1:5">
      <c r="A1" s="1" t="s">
        <v>960</v>
      </c>
      <c r="C1" s="1" t="s">
        <v>900</v>
      </c>
      <c r="D1" s="1" t="s">
        <v>901</v>
      </c>
      <c r="E1" s="1" t="s">
        <v>966</v>
      </c>
    </row>
    <row r="2" spans="1:5">
      <c r="A2" s="2">
        <v>154</v>
      </c>
      <c r="C2" s="2">
        <v>150</v>
      </c>
      <c r="D2" s="2" t="s">
        <v>961</v>
      </c>
      <c r="E2" s="2">
        <f t="array" ref="E2:E6">FREQUENCY(A2:A11,C2:C6)</f>
        <v>1</v>
      </c>
    </row>
    <row r="3" spans="1:5">
      <c r="A3" s="2">
        <v>164</v>
      </c>
      <c r="C3" s="2">
        <v>160</v>
      </c>
      <c r="D3" s="2" t="s">
        <v>962</v>
      </c>
      <c r="E3" s="2">
        <v>3</v>
      </c>
    </row>
    <row r="4" spans="1:5">
      <c r="A4" s="2">
        <v>170</v>
      </c>
      <c r="C4" s="2">
        <v>170</v>
      </c>
      <c r="D4" s="2" t="s">
        <v>963</v>
      </c>
      <c r="E4" s="2">
        <v>3</v>
      </c>
    </row>
    <row r="5" spans="1:5">
      <c r="A5" s="2">
        <v>150</v>
      </c>
      <c r="C5" s="2">
        <v>180</v>
      </c>
      <c r="D5" s="2" t="s">
        <v>964</v>
      </c>
      <c r="E5" s="2">
        <v>2</v>
      </c>
    </row>
    <row r="6" spans="1:5">
      <c r="A6" s="2">
        <v>180</v>
      </c>
      <c r="C6" s="2">
        <v>190</v>
      </c>
      <c r="D6" s="2" t="s">
        <v>965</v>
      </c>
      <c r="E6" s="2">
        <v>1</v>
      </c>
    </row>
    <row r="7" spans="1:5">
      <c r="A7" s="2">
        <v>185</v>
      </c>
    </row>
    <row r="8" spans="1:5">
      <c r="A8" s="2">
        <v>155</v>
      </c>
    </row>
    <row r="9" spans="1:5">
      <c r="A9" s="2">
        <v>165</v>
      </c>
    </row>
    <row r="10" spans="1:5">
      <c r="A10" s="2">
        <v>158</v>
      </c>
    </row>
    <row r="11" spans="1:5">
      <c r="A11" s="2">
        <v>176</v>
      </c>
    </row>
  </sheetData>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26FB-07A1-46B0-B277-B42CA913F9D4}">
  <sheetPr codeName="Sheet94"/>
  <dimension ref="A1:B10"/>
  <sheetViews>
    <sheetView workbookViewId="0">
      <selection activeCell="D13" sqref="D13"/>
    </sheetView>
  </sheetViews>
  <sheetFormatPr defaultRowHeight="14.4"/>
  <cols>
    <col min="1" max="1" width="11.109375" bestFit="1" customWidth="1"/>
    <col min="2" max="2" width="16.33203125" bestFit="1" customWidth="1"/>
  </cols>
  <sheetData>
    <row r="1" spans="1:2">
      <c r="A1" s="1" t="s">
        <v>960</v>
      </c>
      <c r="B1" s="1" t="s">
        <v>967</v>
      </c>
    </row>
    <row r="2" spans="1:2">
      <c r="A2" s="2">
        <v>180</v>
      </c>
      <c r="B2" s="7">
        <f>RANK(A2,$A$2:$A$10)</f>
        <v>2</v>
      </c>
    </row>
    <row r="3" spans="1:2">
      <c r="A3" s="2">
        <v>184</v>
      </c>
      <c r="B3" s="7">
        <f t="shared" ref="B3:B10" si="0">RANK(A3,$A$2:$A$10)</f>
        <v>1</v>
      </c>
    </row>
    <row r="4" spans="1:2">
      <c r="A4" s="2">
        <v>155</v>
      </c>
      <c r="B4" s="7">
        <f t="shared" si="0"/>
        <v>7</v>
      </c>
    </row>
    <row r="5" spans="1:2">
      <c r="A5" s="2">
        <v>169</v>
      </c>
      <c r="B5" s="7">
        <f t="shared" si="0"/>
        <v>5</v>
      </c>
    </row>
    <row r="6" spans="1:2">
      <c r="A6" s="2">
        <v>170</v>
      </c>
      <c r="B6" s="7">
        <f t="shared" si="0"/>
        <v>4</v>
      </c>
    </row>
    <row r="7" spans="1:2">
      <c r="A7" s="2">
        <v>150</v>
      </c>
      <c r="B7" s="7">
        <f t="shared" si="0"/>
        <v>9</v>
      </c>
    </row>
    <row r="8" spans="1:2">
      <c r="A8" s="2">
        <v>163</v>
      </c>
      <c r="B8" s="7">
        <f t="shared" si="0"/>
        <v>6</v>
      </c>
    </row>
    <row r="9" spans="1:2">
      <c r="A9" s="2">
        <v>152</v>
      </c>
      <c r="B9" s="7">
        <f t="shared" si="0"/>
        <v>8</v>
      </c>
    </row>
    <row r="10" spans="1:2">
      <c r="A10" s="2">
        <v>175</v>
      </c>
      <c r="B10" s="7">
        <f t="shared" si="0"/>
        <v>3</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EDD-050D-467F-B0A0-493C7C1B47E5}">
  <sheetPr codeName="Sheet95"/>
  <dimension ref="A1:C11"/>
  <sheetViews>
    <sheetView workbookViewId="0">
      <selection activeCell="D13" sqref="D13"/>
    </sheetView>
  </sheetViews>
  <sheetFormatPr defaultRowHeight="14.4"/>
  <cols>
    <col min="1" max="1" width="17.109375" bestFit="1" customWidth="1"/>
    <col min="2" max="2" width="22.6640625" bestFit="1" customWidth="1"/>
    <col min="3" max="3" width="5" bestFit="1" customWidth="1"/>
  </cols>
  <sheetData>
    <row r="1" spans="1:3">
      <c r="A1" s="1" t="s">
        <v>0</v>
      </c>
      <c r="B1" s="1" t="s">
        <v>978</v>
      </c>
      <c r="C1" s="1" t="s">
        <v>95</v>
      </c>
    </row>
    <row r="2" spans="1:3">
      <c r="A2" s="3" t="s">
        <v>968</v>
      </c>
      <c r="B2" s="2">
        <v>95</v>
      </c>
      <c r="C2" s="7">
        <f>RANK(B2,$B$2:$B$11)</f>
        <v>3</v>
      </c>
    </row>
    <row r="3" spans="1:3">
      <c r="A3" s="3" t="s">
        <v>969</v>
      </c>
      <c r="B3" s="2">
        <v>88</v>
      </c>
      <c r="C3" s="7">
        <f t="shared" ref="C3:C11" si="0">RANK(B3,$B$2:$B$11)</f>
        <v>5</v>
      </c>
    </row>
    <row r="4" spans="1:3">
      <c r="A4" s="3" t="s">
        <v>970</v>
      </c>
      <c r="B4" s="2">
        <v>85</v>
      </c>
      <c r="C4" s="7">
        <f t="shared" si="0"/>
        <v>6</v>
      </c>
    </row>
    <row r="5" spans="1:3">
      <c r="A5" s="3" t="s">
        <v>971</v>
      </c>
      <c r="B5" s="2">
        <v>70</v>
      </c>
      <c r="C5" s="7">
        <f t="shared" si="0"/>
        <v>8</v>
      </c>
    </row>
    <row r="6" spans="1:3">
      <c r="A6" s="3" t="s">
        <v>972</v>
      </c>
      <c r="B6" s="2">
        <v>75</v>
      </c>
      <c r="C6" s="7">
        <f t="shared" si="0"/>
        <v>7</v>
      </c>
    </row>
    <row r="7" spans="1:3">
      <c r="A7" s="3" t="s">
        <v>973</v>
      </c>
      <c r="B7" s="2">
        <v>98</v>
      </c>
      <c r="C7" s="7">
        <f t="shared" si="0"/>
        <v>2</v>
      </c>
    </row>
    <row r="8" spans="1:3">
      <c r="A8" s="3" t="s">
        <v>974</v>
      </c>
      <c r="B8" s="2">
        <v>100</v>
      </c>
      <c r="C8" s="7">
        <f t="shared" si="0"/>
        <v>1</v>
      </c>
    </row>
    <row r="9" spans="1:3">
      <c r="A9" s="3" t="s">
        <v>975</v>
      </c>
      <c r="B9" s="2">
        <v>68</v>
      </c>
      <c r="C9" s="7">
        <f t="shared" si="0"/>
        <v>9</v>
      </c>
    </row>
    <row r="10" spans="1:3">
      <c r="A10" s="3" t="s">
        <v>976</v>
      </c>
      <c r="B10" s="2">
        <v>53</v>
      </c>
      <c r="C10" s="7">
        <f t="shared" si="0"/>
        <v>10</v>
      </c>
    </row>
    <row r="11" spans="1:3">
      <c r="A11" s="3" t="s">
        <v>977</v>
      </c>
      <c r="B11" s="2">
        <v>89</v>
      </c>
      <c r="C11" s="7">
        <f t="shared" si="0"/>
        <v>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9185-AA5D-4D89-94F5-C058DF526E98}">
  <sheetPr codeName="Sheet96"/>
  <dimension ref="A1:C16"/>
  <sheetViews>
    <sheetView workbookViewId="0">
      <selection activeCell="D13" sqref="D13"/>
    </sheetView>
  </sheetViews>
  <sheetFormatPr defaultRowHeight="14.4"/>
  <cols>
    <col min="1" max="1" width="9.44140625" bestFit="1" customWidth="1"/>
    <col min="2" max="2" width="17.44140625" customWidth="1"/>
  </cols>
  <sheetData>
    <row r="1" spans="1:3" ht="28.8">
      <c r="A1" s="1" t="s">
        <v>979</v>
      </c>
      <c r="B1" s="8" t="s">
        <v>980</v>
      </c>
      <c r="C1" s="1" t="s">
        <v>95</v>
      </c>
    </row>
    <row r="2" spans="1:3">
      <c r="A2" s="2" t="s">
        <v>981</v>
      </c>
      <c r="B2" s="2">
        <v>120</v>
      </c>
      <c r="C2" s="7">
        <f>RANK(B2,$B$2:$B$16,1)</f>
        <v>7</v>
      </c>
    </row>
    <row r="3" spans="1:3">
      <c r="A3" s="2" t="s">
        <v>982</v>
      </c>
      <c r="B3" s="2">
        <v>123</v>
      </c>
      <c r="C3" s="7">
        <f t="shared" ref="C3:C16" si="0">RANK(B3,$B$2:$B$16,1)</f>
        <v>8</v>
      </c>
    </row>
    <row r="4" spans="1:3">
      <c r="A4" s="2" t="s">
        <v>983</v>
      </c>
      <c r="B4" s="2">
        <v>140</v>
      </c>
      <c r="C4" s="7">
        <f t="shared" si="0"/>
        <v>14</v>
      </c>
    </row>
    <row r="5" spans="1:3">
      <c r="A5" s="2" t="s">
        <v>984</v>
      </c>
      <c r="B5" s="2">
        <v>133</v>
      </c>
      <c r="C5" s="7">
        <f t="shared" si="0"/>
        <v>12</v>
      </c>
    </row>
    <row r="6" spans="1:3">
      <c r="A6" s="2" t="s">
        <v>985</v>
      </c>
      <c r="B6" s="2">
        <v>128</v>
      </c>
      <c r="C6" s="7">
        <f t="shared" si="0"/>
        <v>11</v>
      </c>
    </row>
    <row r="7" spans="1:3">
      <c r="A7" s="2" t="s">
        <v>986</v>
      </c>
      <c r="B7" s="2">
        <v>149</v>
      </c>
      <c r="C7" s="7">
        <f t="shared" si="0"/>
        <v>15</v>
      </c>
    </row>
    <row r="8" spans="1:3">
      <c r="A8" s="2" t="s">
        <v>987</v>
      </c>
      <c r="B8" s="2">
        <v>138</v>
      </c>
      <c r="C8" s="7">
        <f t="shared" si="0"/>
        <v>13</v>
      </c>
    </row>
    <row r="9" spans="1:3">
      <c r="A9" s="2" t="s">
        <v>988</v>
      </c>
      <c r="B9" s="2">
        <v>119</v>
      </c>
      <c r="C9" s="7">
        <f t="shared" si="0"/>
        <v>6</v>
      </c>
    </row>
    <row r="10" spans="1:3">
      <c r="A10" s="2" t="s">
        <v>989</v>
      </c>
      <c r="B10" s="2">
        <v>100</v>
      </c>
      <c r="C10" s="7">
        <f t="shared" si="0"/>
        <v>2</v>
      </c>
    </row>
    <row r="11" spans="1:3">
      <c r="A11" s="2" t="s">
        <v>990</v>
      </c>
      <c r="B11" s="2">
        <v>89</v>
      </c>
      <c r="C11" s="7">
        <f t="shared" si="0"/>
        <v>1</v>
      </c>
    </row>
    <row r="12" spans="1:3">
      <c r="A12" s="2" t="s">
        <v>991</v>
      </c>
      <c r="B12" s="2">
        <v>101</v>
      </c>
      <c r="C12" s="7">
        <f t="shared" si="0"/>
        <v>3</v>
      </c>
    </row>
    <row r="13" spans="1:3">
      <c r="A13" s="2" t="s">
        <v>992</v>
      </c>
      <c r="B13" s="2">
        <v>110</v>
      </c>
      <c r="C13" s="7">
        <f t="shared" si="0"/>
        <v>4</v>
      </c>
    </row>
    <row r="14" spans="1:3">
      <c r="A14" s="2" t="s">
        <v>993</v>
      </c>
      <c r="B14" s="2">
        <v>113</v>
      </c>
      <c r="C14" s="7">
        <f t="shared" si="0"/>
        <v>5</v>
      </c>
    </row>
    <row r="15" spans="1:3">
      <c r="A15" s="2" t="s">
        <v>994</v>
      </c>
      <c r="B15" s="2">
        <v>127</v>
      </c>
      <c r="C15" s="7">
        <f t="shared" si="0"/>
        <v>10</v>
      </c>
    </row>
    <row r="16" spans="1:3">
      <c r="A16" s="2" t="s">
        <v>995</v>
      </c>
      <c r="B16" s="2">
        <v>123</v>
      </c>
      <c r="C16" s="7">
        <f t="shared" si="0"/>
        <v>8</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E01C-F299-481D-A861-7DB4A849A07E}">
  <sheetPr codeName="Sheet97"/>
  <dimension ref="A1:C12"/>
  <sheetViews>
    <sheetView workbookViewId="0">
      <selection activeCell="D13" sqref="D13"/>
    </sheetView>
  </sheetViews>
  <sheetFormatPr defaultRowHeight="14.4"/>
  <cols>
    <col min="1" max="1" width="9" bestFit="1" customWidth="1"/>
    <col min="2" max="2" width="15.109375" bestFit="1" customWidth="1"/>
    <col min="3" max="3" width="5" bestFit="1" customWidth="1"/>
  </cols>
  <sheetData>
    <row r="1" spans="1:3">
      <c r="A1" s="1" t="s">
        <v>155</v>
      </c>
      <c r="B1" s="1" t="s">
        <v>996</v>
      </c>
      <c r="C1" s="1" t="s">
        <v>95</v>
      </c>
    </row>
    <row r="2" spans="1:3">
      <c r="A2" s="2" t="s">
        <v>997</v>
      </c>
      <c r="B2" s="2">
        <v>20</v>
      </c>
      <c r="C2" s="7">
        <f>RANK(B2,$B$2:$B$11)+COUNTIF($B$2:B2,B2)-1</f>
        <v>7</v>
      </c>
    </row>
    <row r="3" spans="1:3">
      <c r="A3" s="2" t="s">
        <v>998</v>
      </c>
      <c r="B3" s="2">
        <v>23</v>
      </c>
      <c r="C3" s="7">
        <f>RANK(B3,$B$2:$B$11)+COUNTIF($B$2:B3,B3)-1</f>
        <v>5</v>
      </c>
    </row>
    <row r="4" spans="1:3">
      <c r="A4" s="2" t="s">
        <v>999</v>
      </c>
      <c r="B4" s="2">
        <v>10</v>
      </c>
      <c r="C4" s="7">
        <f>RANK(B4,$B$2:$B$11)+COUNTIF($B$2:B4,B4)-1</f>
        <v>10</v>
      </c>
    </row>
    <row r="5" spans="1:3">
      <c r="A5" s="2" t="s">
        <v>1000</v>
      </c>
      <c r="B5" s="2">
        <v>25</v>
      </c>
      <c r="C5" s="7">
        <f>RANK(B5,$B$2:$B$11)+COUNTIF($B$2:B5,B5)-1</f>
        <v>3</v>
      </c>
    </row>
    <row r="6" spans="1:3">
      <c r="A6" s="2" t="s">
        <v>1001</v>
      </c>
      <c r="B6" s="2">
        <v>33</v>
      </c>
      <c r="C6" s="7">
        <f>RANK(B6,$B$2:$B$11)+COUNTIF($B$2:B6,B6)-1</f>
        <v>1</v>
      </c>
    </row>
    <row r="7" spans="1:3">
      <c r="A7" s="2" t="s">
        <v>1002</v>
      </c>
      <c r="B7" s="2">
        <v>18</v>
      </c>
      <c r="C7" s="7">
        <f>RANK(B7,$B$2:$B$11)+COUNTIF($B$2:B7,B7)-1</f>
        <v>9</v>
      </c>
    </row>
    <row r="8" spans="1:3">
      <c r="A8" s="2" t="s">
        <v>1003</v>
      </c>
      <c r="B8" s="2">
        <v>23</v>
      </c>
      <c r="C8" s="7">
        <f>RANK(B8,$B$2:$B$11)+COUNTIF($B$2:B8,B8)-1</f>
        <v>6</v>
      </c>
    </row>
    <row r="9" spans="1:3">
      <c r="A9" s="2" t="s">
        <v>1004</v>
      </c>
      <c r="B9" s="2">
        <v>25</v>
      </c>
      <c r="C9" s="7">
        <f>RANK(B9,$B$2:$B$11)+COUNTIF($B$2:B9,B9)-1</f>
        <v>4</v>
      </c>
    </row>
    <row r="10" spans="1:3">
      <c r="A10" s="2" t="s">
        <v>1005</v>
      </c>
      <c r="B10" s="2">
        <v>30</v>
      </c>
      <c r="C10" s="7">
        <f>RANK(B10,$B$2:$B$11)+COUNTIF($B$2:B10,B10)-1</f>
        <v>2</v>
      </c>
    </row>
    <row r="11" spans="1:3">
      <c r="A11" s="2" t="s">
        <v>1006</v>
      </c>
      <c r="B11" s="2">
        <v>20</v>
      </c>
      <c r="C11" s="7">
        <f>RANK(B11,$B$2:$B$11)+COUNTIF($B$2:B11,B11)-1</f>
        <v>8</v>
      </c>
    </row>
    <row r="12" spans="1:3">
      <c r="B12" s="6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AB02-ACE2-4023-9B22-70554C438095}">
  <sheetPr codeName="Sheet98"/>
  <dimension ref="A1:E11"/>
  <sheetViews>
    <sheetView workbookViewId="0">
      <selection activeCell="D13" sqref="D13"/>
    </sheetView>
  </sheetViews>
  <sheetFormatPr defaultRowHeight="14.4"/>
  <cols>
    <col min="1" max="1" width="10.44140625" bestFit="1" customWidth="1"/>
    <col min="2" max="2" width="8.44140625" bestFit="1" customWidth="1"/>
    <col min="3" max="3" width="10.6640625" bestFit="1" customWidth="1"/>
    <col min="4" max="4" width="15" bestFit="1" customWidth="1"/>
    <col min="5" max="5" width="13.6640625" bestFit="1" customWidth="1"/>
  </cols>
  <sheetData>
    <row r="1" spans="1:5">
      <c r="A1" s="1" t="s">
        <v>1007</v>
      </c>
      <c r="B1" s="1" t="s">
        <v>319</v>
      </c>
      <c r="C1" s="1" t="s">
        <v>1008</v>
      </c>
      <c r="D1" s="1" t="s">
        <v>1009</v>
      </c>
      <c r="E1" s="1" t="s">
        <v>1010</v>
      </c>
    </row>
    <row r="2" spans="1:5">
      <c r="A2" s="2" t="s">
        <v>1011</v>
      </c>
      <c r="B2" s="2">
        <v>20000</v>
      </c>
      <c r="C2" s="7">
        <f>RANK(B2,$B$2:$B$11)</f>
        <v>8</v>
      </c>
      <c r="D2" s="7">
        <f>_xlfn.RANK.AVG(B2,$B$2:$B$11)</f>
        <v>8.5</v>
      </c>
      <c r="E2" s="7">
        <f>_xlfn.RANK.EQ(B2,$B$2:$B$11)</f>
        <v>8</v>
      </c>
    </row>
    <row r="3" spans="1:5">
      <c r="A3" s="2" t="s">
        <v>1012</v>
      </c>
      <c r="B3" s="2">
        <v>45000</v>
      </c>
      <c r="C3" s="7">
        <f t="shared" ref="C3:C11" si="0">RANK(B3,$B$2:$B$11)</f>
        <v>4</v>
      </c>
      <c r="D3" s="7">
        <f t="shared" ref="D3:D11" si="1">_xlfn.RANK.AVG(B3,$B$2:$B$11)</f>
        <v>4</v>
      </c>
      <c r="E3" s="7">
        <f t="shared" ref="E3:E11" si="2">_xlfn.RANK.EQ(B3,$B$2:$B$11)</f>
        <v>4</v>
      </c>
    </row>
    <row r="4" spans="1:5">
      <c r="A4" s="2" t="s">
        <v>1013</v>
      </c>
      <c r="B4" s="2">
        <v>53000</v>
      </c>
      <c r="C4" s="7">
        <f t="shared" si="0"/>
        <v>3</v>
      </c>
      <c r="D4" s="7">
        <f t="shared" si="1"/>
        <v>3</v>
      </c>
      <c r="E4" s="7">
        <f t="shared" si="2"/>
        <v>3</v>
      </c>
    </row>
    <row r="5" spans="1:5">
      <c r="A5" s="2" t="s">
        <v>1014</v>
      </c>
      <c r="B5" s="2">
        <v>19450</v>
      </c>
      <c r="C5" s="7">
        <f t="shared" si="0"/>
        <v>10</v>
      </c>
      <c r="D5" s="7">
        <f t="shared" si="1"/>
        <v>10</v>
      </c>
      <c r="E5" s="7">
        <f t="shared" si="2"/>
        <v>10</v>
      </c>
    </row>
    <row r="6" spans="1:5">
      <c r="A6" s="2" t="s">
        <v>1015</v>
      </c>
      <c r="B6" s="2">
        <v>39000</v>
      </c>
      <c r="C6" s="7">
        <f t="shared" si="0"/>
        <v>6</v>
      </c>
      <c r="D6" s="7">
        <f t="shared" si="1"/>
        <v>6</v>
      </c>
      <c r="E6" s="7">
        <f t="shared" si="2"/>
        <v>6</v>
      </c>
    </row>
    <row r="7" spans="1:5">
      <c r="A7" s="2" t="s">
        <v>1016</v>
      </c>
      <c r="B7" s="2">
        <v>41000</v>
      </c>
      <c r="C7" s="7">
        <f t="shared" si="0"/>
        <v>5</v>
      </c>
      <c r="D7" s="7">
        <f t="shared" si="1"/>
        <v>5</v>
      </c>
      <c r="E7" s="7">
        <f t="shared" si="2"/>
        <v>5</v>
      </c>
    </row>
    <row r="8" spans="1:5">
      <c r="A8" s="2" t="s">
        <v>1017</v>
      </c>
      <c r="B8" s="2">
        <v>65000</v>
      </c>
      <c r="C8" s="7">
        <f t="shared" si="0"/>
        <v>1</v>
      </c>
      <c r="D8" s="7">
        <f t="shared" si="1"/>
        <v>1</v>
      </c>
      <c r="E8" s="7">
        <f t="shared" si="2"/>
        <v>1</v>
      </c>
    </row>
    <row r="9" spans="1:5">
      <c r="A9" s="2" t="s">
        <v>1018</v>
      </c>
      <c r="B9" s="2">
        <v>59270</v>
      </c>
      <c r="C9" s="7">
        <f t="shared" si="0"/>
        <v>2</v>
      </c>
      <c r="D9" s="7">
        <f t="shared" si="1"/>
        <v>2</v>
      </c>
      <c r="E9" s="7">
        <f t="shared" si="2"/>
        <v>2</v>
      </c>
    </row>
    <row r="10" spans="1:5">
      <c r="A10" s="2" t="s">
        <v>1019</v>
      </c>
      <c r="B10" s="2">
        <v>20000</v>
      </c>
      <c r="C10" s="7">
        <f t="shared" si="0"/>
        <v>8</v>
      </c>
      <c r="D10" s="7">
        <f t="shared" si="1"/>
        <v>8.5</v>
      </c>
      <c r="E10" s="7">
        <f t="shared" si="2"/>
        <v>8</v>
      </c>
    </row>
    <row r="11" spans="1:5">
      <c r="A11" s="2" t="s">
        <v>1020</v>
      </c>
      <c r="B11" s="2">
        <v>37000</v>
      </c>
      <c r="C11" s="7">
        <f t="shared" si="0"/>
        <v>7</v>
      </c>
      <c r="D11" s="7">
        <f t="shared" si="1"/>
        <v>7</v>
      </c>
      <c r="E11" s="7">
        <f t="shared" si="2"/>
        <v>7</v>
      </c>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2DC-3CAE-419D-AAFD-1CFA62848C87}">
  <sheetPr codeName="Sheet99"/>
  <dimension ref="A1:D6"/>
  <sheetViews>
    <sheetView workbookViewId="0"/>
  </sheetViews>
  <sheetFormatPr defaultRowHeight="14.4"/>
  <cols>
    <col min="1" max="1" width="17.44140625" bestFit="1" customWidth="1"/>
    <col min="2" max="2" width="23.88671875" bestFit="1" customWidth="1"/>
    <col min="3" max="3" width="25.44140625" bestFit="1" customWidth="1"/>
    <col min="4" max="4" width="5" bestFit="1" customWidth="1"/>
  </cols>
  <sheetData>
    <row r="1" spans="1:4">
      <c r="A1" s="1" t="s">
        <v>0</v>
      </c>
      <c r="B1" s="1" t="s">
        <v>1026</v>
      </c>
      <c r="C1" s="1" t="s">
        <v>1027</v>
      </c>
      <c r="D1" s="1" t="s">
        <v>95</v>
      </c>
    </row>
    <row r="2" spans="1:4">
      <c r="A2" s="3" t="s">
        <v>1021</v>
      </c>
      <c r="B2" s="2">
        <v>90</v>
      </c>
      <c r="C2" s="2">
        <v>585</v>
      </c>
      <c r="D2" s="57">
        <f>RANK($B2,$B$2:$B$6)+COUNTIFS($B$2:$B$6,$B2,$C$2:$C$6,"&gt;"&amp;$C2)</f>
        <v>4</v>
      </c>
    </row>
    <row r="3" spans="1:4">
      <c r="A3" s="3" t="s">
        <v>1022</v>
      </c>
      <c r="B3" s="2">
        <v>98</v>
      </c>
      <c r="C3" s="2">
        <v>595</v>
      </c>
      <c r="D3" s="57">
        <f>RANK($B3,$B$2:$B$6)+COUNTIFS($B$2:$B$6,$B3,$C$2:$C$6,"&gt;"&amp;$C3)</f>
        <v>1</v>
      </c>
    </row>
    <row r="4" spans="1:4">
      <c r="A4" s="3" t="s">
        <v>1023</v>
      </c>
      <c r="B4" s="2">
        <v>90</v>
      </c>
      <c r="C4" s="2">
        <v>580</v>
      </c>
      <c r="D4" s="57">
        <f>RANK($B4,$B$2:$B$6)+COUNTIFS($B$2:$B$6,$B4,$C$2:$C$6,"&gt;"&amp;$C4)</f>
        <v>5</v>
      </c>
    </row>
    <row r="5" spans="1:4">
      <c r="A5" s="3" t="s">
        <v>1024</v>
      </c>
      <c r="B5" s="2">
        <v>91</v>
      </c>
      <c r="C5" s="2">
        <v>590</v>
      </c>
      <c r="D5" s="57">
        <f>RANK($B5,$B$2:$B$6)+COUNTIFS($B$2:$B$6,$B5,$C$2:$C$6,"&gt;"&amp;$C5)</f>
        <v>3</v>
      </c>
    </row>
    <row r="6" spans="1:4">
      <c r="A6" s="3" t="s">
        <v>1025</v>
      </c>
      <c r="B6" s="2">
        <v>92</v>
      </c>
      <c r="C6" s="2">
        <v>586</v>
      </c>
      <c r="D6" s="57">
        <f>RANK($B6,$B$2:$B$6)+COUNTIFS($B$2:$B$6,$B6,$C$2:$C$6,"&gt;"&amp;$C6)</f>
        <v>2</v>
      </c>
    </row>
  </sheetData>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4734-AF26-4639-A510-34033F9D29AD}">
  <sheetPr codeName="Sheet100"/>
  <dimension ref="A1:D6"/>
  <sheetViews>
    <sheetView workbookViewId="0">
      <selection activeCell="D12" sqref="D12"/>
    </sheetView>
  </sheetViews>
  <sheetFormatPr defaultRowHeight="14.4"/>
  <cols>
    <col min="1" max="2" width="13.88671875" bestFit="1" customWidth="1"/>
    <col min="3" max="3" width="28" bestFit="1" customWidth="1"/>
    <col min="4" max="4" width="40.88671875" bestFit="1" customWidth="1"/>
  </cols>
  <sheetData>
    <row r="1" spans="1:4">
      <c r="A1" s="1" t="s">
        <v>1028</v>
      </c>
      <c r="B1" s="1" t="s">
        <v>1046</v>
      </c>
      <c r="C1" s="1" t="s">
        <v>1044</v>
      </c>
      <c r="D1" s="1" t="s">
        <v>1045</v>
      </c>
    </row>
    <row r="2" spans="1:4">
      <c r="A2" s="2" t="s">
        <v>1029</v>
      </c>
      <c r="B2" s="7" t="str">
        <f>RIGHT(A2,3)</f>
        <v>gle</v>
      </c>
      <c r="C2" s="2" t="s">
        <v>1034</v>
      </c>
      <c r="D2" s="2" t="s">
        <v>1039</v>
      </c>
    </row>
    <row r="3" spans="1:4">
      <c r="A3" s="2" t="s">
        <v>1030</v>
      </c>
      <c r="B3" s="7" t="str">
        <f>RIGHT("Houston, TX",2)</f>
        <v>TX</v>
      </c>
      <c r="C3" s="2" t="s">
        <v>1035</v>
      </c>
      <c r="D3" s="2" t="s">
        <v>1040</v>
      </c>
    </row>
    <row r="4" spans="1:4">
      <c r="A4" s="27" t="s">
        <v>1031</v>
      </c>
      <c r="B4" s="7" t="str">
        <f>RIGHT("December 2020",4)</f>
        <v>2020</v>
      </c>
      <c r="C4" s="2" t="s">
        <v>1036</v>
      </c>
      <c r="D4" s="2" t="s">
        <v>1041</v>
      </c>
    </row>
    <row r="5" spans="1:4">
      <c r="A5" s="27" t="s">
        <v>1032</v>
      </c>
      <c r="B5" s="7" t="str">
        <f>RIGHT("(478) 374-4989",8)</f>
        <v>374-4989</v>
      </c>
      <c r="C5" s="2" t="s">
        <v>1037</v>
      </c>
      <c r="D5" s="2" t="s">
        <v>1042</v>
      </c>
    </row>
    <row r="6" spans="1:4">
      <c r="A6" s="2" t="s">
        <v>1033</v>
      </c>
      <c r="B6" s="7" t="str">
        <f>RIGHT("1234/7890",5)</f>
        <v>/7890</v>
      </c>
      <c r="C6" s="2" t="s">
        <v>1038</v>
      </c>
      <c r="D6" s="2" t="s">
        <v>1043</v>
      </c>
    </row>
  </sheetData>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0FD48-8D81-4F23-9A38-9E66F9BD9A2E}">
  <sheetPr codeName="Sheet101"/>
  <dimension ref="A1:E12"/>
  <sheetViews>
    <sheetView workbookViewId="0">
      <selection activeCell="D12" sqref="D12"/>
    </sheetView>
  </sheetViews>
  <sheetFormatPr defaultRowHeight="14.4"/>
  <cols>
    <col min="1" max="1" width="8.5546875" bestFit="1" customWidth="1"/>
    <col min="2" max="2" width="15.6640625" bestFit="1" customWidth="1"/>
    <col min="3" max="3" width="8.109375" bestFit="1" customWidth="1"/>
    <col min="4" max="4" width="14.109375" bestFit="1" customWidth="1"/>
    <col min="5" max="5" width="13.109375" bestFit="1" customWidth="1"/>
  </cols>
  <sheetData>
    <row r="1" spans="1:5">
      <c r="A1" s="1" t="s">
        <v>130</v>
      </c>
      <c r="B1" s="1" t="s">
        <v>80</v>
      </c>
      <c r="C1" s="1" t="s">
        <v>357</v>
      </c>
      <c r="D1" s="1" t="s">
        <v>1069</v>
      </c>
      <c r="E1" s="1" t="s">
        <v>228</v>
      </c>
    </row>
    <row r="2" spans="1:5">
      <c r="A2" s="2" t="s">
        <v>1047</v>
      </c>
      <c r="B2" s="2">
        <v>90</v>
      </c>
      <c r="C2" s="2">
        <v>100</v>
      </c>
      <c r="D2" s="2" t="s">
        <v>1058</v>
      </c>
      <c r="E2" s="7" t="str">
        <f>RIGHT(D2,5)</f>
        <v>54389</v>
      </c>
    </row>
    <row r="3" spans="1:5">
      <c r="A3" s="2" t="s">
        <v>1048</v>
      </c>
      <c r="B3" s="2">
        <v>100</v>
      </c>
      <c r="C3" s="2">
        <v>200</v>
      </c>
      <c r="D3" s="2" t="s">
        <v>1059</v>
      </c>
      <c r="E3" s="7" t="str">
        <f t="shared" ref="E3:E12" si="0">RIGHT(D3,5)</f>
        <v>54450</v>
      </c>
    </row>
    <row r="4" spans="1:5">
      <c r="A4" s="2" t="s">
        <v>1049</v>
      </c>
      <c r="B4" s="2">
        <v>140</v>
      </c>
      <c r="C4" s="2">
        <v>150</v>
      </c>
      <c r="D4" s="2" t="s">
        <v>1060</v>
      </c>
      <c r="E4" s="7" t="str">
        <f t="shared" si="0"/>
        <v>54490</v>
      </c>
    </row>
    <row r="5" spans="1:5">
      <c r="A5" s="2" t="s">
        <v>1050</v>
      </c>
      <c r="B5" s="2">
        <v>85</v>
      </c>
      <c r="C5" s="2">
        <v>100</v>
      </c>
      <c r="D5" s="2" t="s">
        <v>1061</v>
      </c>
      <c r="E5" s="7" t="str">
        <f t="shared" si="0"/>
        <v>54510</v>
      </c>
    </row>
    <row r="6" spans="1:5">
      <c r="A6" s="2" t="s">
        <v>1051</v>
      </c>
      <c r="B6" s="2">
        <v>120</v>
      </c>
      <c r="C6" s="2">
        <v>250</v>
      </c>
      <c r="D6" s="2" t="s">
        <v>1062</v>
      </c>
      <c r="E6" s="7" t="str">
        <f t="shared" si="0"/>
        <v>54584</v>
      </c>
    </row>
    <row r="7" spans="1:5">
      <c r="A7" s="2" t="s">
        <v>1052</v>
      </c>
      <c r="B7" s="2">
        <v>125</v>
      </c>
      <c r="C7" s="2">
        <v>210</v>
      </c>
      <c r="D7" s="2" t="s">
        <v>1063</v>
      </c>
      <c r="E7" s="7" t="str">
        <f t="shared" si="0"/>
        <v>54620</v>
      </c>
    </row>
    <row r="8" spans="1:5">
      <c r="A8" s="2" t="s">
        <v>1053</v>
      </c>
      <c r="B8" s="2">
        <v>50</v>
      </c>
      <c r="C8" s="2">
        <v>255</v>
      </c>
      <c r="D8" s="2" t="s">
        <v>1064</v>
      </c>
      <c r="E8" s="7" t="str">
        <f t="shared" si="0"/>
        <v>54634</v>
      </c>
    </row>
    <row r="9" spans="1:5">
      <c r="A9" s="2" t="s">
        <v>1054</v>
      </c>
      <c r="B9" s="2">
        <v>25</v>
      </c>
      <c r="C9" s="2">
        <v>300</v>
      </c>
      <c r="D9" s="2" t="s">
        <v>1065</v>
      </c>
      <c r="E9" s="7" t="str">
        <f t="shared" si="0"/>
        <v>54655</v>
      </c>
    </row>
    <row r="10" spans="1:5">
      <c r="A10" s="2" t="s">
        <v>1055</v>
      </c>
      <c r="B10" s="2">
        <v>150</v>
      </c>
      <c r="C10" s="2">
        <v>350</v>
      </c>
      <c r="D10" s="2" t="s">
        <v>1066</v>
      </c>
      <c r="E10" s="7" t="str">
        <f t="shared" si="0"/>
        <v>54680</v>
      </c>
    </row>
    <row r="11" spans="1:5">
      <c r="A11" s="2" t="s">
        <v>1056</v>
      </c>
      <c r="B11" s="2">
        <v>200</v>
      </c>
      <c r="C11" s="2">
        <v>100</v>
      </c>
      <c r="D11" s="2" t="s">
        <v>1067</v>
      </c>
      <c r="E11" s="7" t="str">
        <f t="shared" si="0"/>
        <v>54739</v>
      </c>
    </row>
    <row r="12" spans="1:5">
      <c r="A12" s="2" t="s">
        <v>1057</v>
      </c>
      <c r="B12" s="2">
        <v>165</v>
      </c>
      <c r="C12" s="2">
        <v>170</v>
      </c>
      <c r="D12" s="2" t="s">
        <v>1068</v>
      </c>
      <c r="E12" s="7" t="str">
        <f t="shared" si="0"/>
        <v>54708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8C24-9A50-4ECA-8D6A-FFACB494FE76}">
  <sheetPr codeName="Sheet102"/>
  <dimension ref="A1:B7"/>
  <sheetViews>
    <sheetView workbookViewId="0">
      <selection activeCell="D12" sqref="D12"/>
    </sheetView>
  </sheetViews>
  <sheetFormatPr defaultRowHeight="14.4"/>
  <cols>
    <col min="1" max="1" width="26.109375" bestFit="1" customWidth="1"/>
    <col min="2" max="2" width="22.44140625" bestFit="1" customWidth="1"/>
  </cols>
  <sheetData>
    <row r="1" spans="1:2">
      <c r="A1" s="1" t="s">
        <v>1070</v>
      </c>
      <c r="B1" s="1" t="s">
        <v>1071</v>
      </c>
    </row>
    <row r="2" spans="1:2">
      <c r="A2" s="2" t="s">
        <v>1072</v>
      </c>
      <c r="B2" s="7" t="str">
        <f t="shared" ref="B2:B7" si="0">RIGHT(A2,LEN(A2)-5)</f>
        <v>Texas - Austin</v>
      </c>
    </row>
    <row r="3" spans="1:2">
      <c r="A3" s="2" t="s">
        <v>1073</v>
      </c>
      <c r="B3" s="7" t="str">
        <f t="shared" si="0"/>
        <v>New Jersey - Trenton</v>
      </c>
    </row>
    <row r="4" spans="1:2">
      <c r="A4" s="2" t="s">
        <v>1074</v>
      </c>
      <c r="B4" s="7" t="str">
        <f t="shared" si="0"/>
        <v>Arizona - Phoenix</v>
      </c>
    </row>
    <row r="5" spans="1:2">
      <c r="A5" s="2" t="s">
        <v>1075</v>
      </c>
      <c r="B5" s="7" t="str">
        <f t="shared" si="0"/>
        <v>Minnesota - Saint Paul</v>
      </c>
    </row>
    <row r="6" spans="1:2">
      <c r="A6" s="2" t="s">
        <v>1076</v>
      </c>
      <c r="B6" s="7" t="str">
        <f t="shared" si="0"/>
        <v>Pennsylvania - Harrisburg</v>
      </c>
    </row>
    <row r="7" spans="1:2">
      <c r="A7" s="2" t="s">
        <v>1077</v>
      </c>
      <c r="B7" s="7" t="str">
        <f t="shared" si="0"/>
        <v>California - Sacramento</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94F-4E48-42B0-A12D-1D52D4533C36}">
  <sheetPr codeName="Sheet103"/>
  <dimension ref="A1:B11"/>
  <sheetViews>
    <sheetView workbookViewId="0">
      <selection activeCell="D12" sqref="D12"/>
    </sheetView>
  </sheetViews>
  <sheetFormatPr defaultRowHeight="14.4"/>
  <cols>
    <col min="1" max="1" width="23" bestFit="1" customWidth="1"/>
  </cols>
  <sheetData>
    <row r="1" spans="1:2">
      <c r="A1" s="1" t="s">
        <v>670</v>
      </c>
      <c r="B1" s="1" t="s">
        <v>33</v>
      </c>
    </row>
    <row r="2" spans="1:2">
      <c r="A2" s="27" t="s">
        <v>1078</v>
      </c>
      <c r="B2" s="7" t="str">
        <f>RIGHT(A2,4)</f>
        <v>2015</v>
      </c>
    </row>
    <row r="3" spans="1:2">
      <c r="A3" s="27" t="s">
        <v>1079</v>
      </c>
      <c r="B3" s="7" t="str">
        <f t="shared" ref="B3:B11" si="0">RIGHT(A3,4)</f>
        <v>2016</v>
      </c>
    </row>
    <row r="4" spans="1:2">
      <c r="A4" s="27" t="s">
        <v>1080</v>
      </c>
      <c r="B4" s="7" t="str">
        <f t="shared" si="0"/>
        <v>2015</v>
      </c>
    </row>
    <row r="5" spans="1:2">
      <c r="A5" s="27" t="s">
        <v>1081</v>
      </c>
      <c r="B5" s="7" t="str">
        <f t="shared" si="0"/>
        <v>2018</v>
      </c>
    </row>
    <row r="6" spans="1:2">
      <c r="A6" s="27" t="s">
        <v>1082</v>
      </c>
      <c r="B6" s="7" t="str">
        <f t="shared" si="0"/>
        <v>2017</v>
      </c>
    </row>
    <row r="7" spans="1:2">
      <c r="A7" s="27" t="s">
        <v>1083</v>
      </c>
      <c r="B7" s="7" t="str">
        <f t="shared" si="0"/>
        <v>2019</v>
      </c>
    </row>
    <row r="8" spans="1:2">
      <c r="A8" s="27" t="s">
        <v>1084</v>
      </c>
      <c r="B8" s="7" t="str">
        <f t="shared" si="0"/>
        <v>2019</v>
      </c>
    </row>
    <row r="9" spans="1:2">
      <c r="A9" s="27" t="s">
        <v>1085</v>
      </c>
      <c r="B9" s="7" t="str">
        <f t="shared" si="0"/>
        <v>2020</v>
      </c>
    </row>
    <row r="10" spans="1:2">
      <c r="A10" s="27" t="s">
        <v>1086</v>
      </c>
      <c r="B10" s="7" t="str">
        <f t="shared" si="0"/>
        <v>2021</v>
      </c>
    </row>
    <row r="11" spans="1:2">
      <c r="A11" s="27" t="s">
        <v>1087</v>
      </c>
      <c r="B11" s="7" t="str">
        <f t="shared" si="0"/>
        <v>2022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70DA-431F-4D04-9D5F-96BDA2D7C56D}">
  <sheetPr codeName="Sheet104"/>
  <dimension ref="A1:B6"/>
  <sheetViews>
    <sheetView workbookViewId="0">
      <selection activeCell="D12" sqref="D12"/>
    </sheetView>
  </sheetViews>
  <sheetFormatPr defaultRowHeight="14.4"/>
  <cols>
    <col min="1" max="1" width="53.109375" bestFit="1" customWidth="1"/>
  </cols>
  <sheetData>
    <row r="1" spans="1:2">
      <c r="A1" s="1" t="s">
        <v>1088</v>
      </c>
      <c r="B1" s="1" t="s">
        <v>1089</v>
      </c>
    </row>
    <row r="2" spans="1:2">
      <c r="A2" s="19" t="s">
        <v>1090</v>
      </c>
      <c r="B2" s="7">
        <f>VALUE(RIGHT(A2,5))</f>
        <v>92110</v>
      </c>
    </row>
    <row r="3" spans="1:2">
      <c r="A3" s="19" t="s">
        <v>1094</v>
      </c>
      <c r="B3" s="7">
        <f>VALUE(RIGHT(A3,5))</f>
        <v>92110</v>
      </c>
    </row>
    <row r="4" spans="1:2">
      <c r="A4" s="19" t="s">
        <v>1091</v>
      </c>
      <c r="B4" s="7">
        <f>VALUE(RIGHT(A4,5))</f>
        <v>92037</v>
      </c>
    </row>
    <row r="5" spans="1:2">
      <c r="A5" s="19" t="s">
        <v>1092</v>
      </c>
      <c r="B5" s="7">
        <f>VALUE(RIGHT(A5,5))</f>
        <v>92037</v>
      </c>
    </row>
    <row r="6" spans="1:2">
      <c r="A6" s="19" t="s">
        <v>1093</v>
      </c>
      <c r="B6" s="7">
        <f>VALUE(RIGHT(A6,5))</f>
        <v>92124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AED7-EBF5-4D7F-8671-8506BBB7F11E}">
  <sheetPr codeName="Sheet105"/>
  <dimension ref="A1:B11"/>
  <sheetViews>
    <sheetView workbookViewId="0">
      <selection activeCell="D12" sqref="D12"/>
    </sheetView>
  </sheetViews>
  <sheetFormatPr defaultRowHeight="14.4"/>
  <cols>
    <col min="1" max="1" width="16.33203125" bestFit="1" customWidth="1"/>
    <col min="2" max="2" width="9.6640625" bestFit="1" customWidth="1"/>
  </cols>
  <sheetData>
    <row r="1" spans="1:2">
      <c r="A1" s="1" t="s">
        <v>1106</v>
      </c>
      <c r="B1" s="1" t="s">
        <v>1105</v>
      </c>
    </row>
    <row r="2" spans="1:2">
      <c r="A2" s="64" t="s">
        <v>1095</v>
      </c>
      <c r="B2" s="39" t="str">
        <f>RIGHT(A2,LEN(A2)-SEARCH(" ",A2))</f>
        <v>Armstrong</v>
      </c>
    </row>
    <row r="3" spans="1:2">
      <c r="A3" s="64" t="s">
        <v>1096</v>
      </c>
      <c r="B3" s="39" t="str">
        <f t="shared" ref="B3:B11" si="0">RIGHT(A3,LEN(A3)-SEARCH(" ",A3))</f>
        <v>Miles</v>
      </c>
    </row>
    <row r="4" spans="1:2">
      <c r="A4" s="64" t="s">
        <v>1097</v>
      </c>
      <c r="B4" s="39" t="str">
        <f t="shared" si="0"/>
        <v>Curtis</v>
      </c>
    </row>
    <row r="5" spans="1:2">
      <c r="A5" s="64" t="s">
        <v>1098</v>
      </c>
      <c r="B5" s="39" t="str">
        <f t="shared" si="0"/>
        <v>Lowe</v>
      </c>
    </row>
    <row r="6" spans="1:2">
      <c r="A6" s="64" t="s">
        <v>1099</v>
      </c>
      <c r="B6" s="39" t="str">
        <f t="shared" si="0"/>
        <v>Andrews</v>
      </c>
    </row>
    <row r="7" spans="1:2">
      <c r="A7" s="64" t="s">
        <v>1100</v>
      </c>
      <c r="B7" s="39" t="str">
        <f t="shared" si="0"/>
        <v>Valdez</v>
      </c>
    </row>
    <row r="8" spans="1:2">
      <c r="A8" s="64" t="s">
        <v>1101</v>
      </c>
      <c r="B8" s="39" t="str">
        <f t="shared" si="0"/>
        <v>Cain</v>
      </c>
    </row>
    <row r="9" spans="1:2">
      <c r="A9" s="64" t="s">
        <v>1102</v>
      </c>
      <c r="B9" s="39" t="str">
        <f t="shared" si="0"/>
        <v>Schultz</v>
      </c>
    </row>
    <row r="10" spans="1:2">
      <c r="A10" s="64" t="s">
        <v>1103</v>
      </c>
      <c r="B10" s="39" t="str">
        <f t="shared" si="0"/>
        <v>Cobb</v>
      </c>
    </row>
    <row r="11" spans="1:2">
      <c r="A11" s="64" t="s">
        <v>1104</v>
      </c>
      <c r="B11" s="39" t="str">
        <f t="shared" si="0"/>
        <v>Stephens</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45E75-A865-43C2-AC54-4965D225DA0E}">
  <sheetPr codeName="Sheet106"/>
  <dimension ref="A1:B8"/>
  <sheetViews>
    <sheetView workbookViewId="0">
      <selection activeCell="D12" sqref="D12"/>
    </sheetView>
  </sheetViews>
  <sheetFormatPr defaultRowHeight="14.4"/>
  <cols>
    <col min="1" max="1" width="60.44140625" bestFit="1" customWidth="1"/>
    <col min="2" max="2" width="38.109375" bestFit="1" customWidth="1"/>
  </cols>
  <sheetData>
    <row r="1" spans="1:2">
      <c r="A1" s="1" t="s">
        <v>1107</v>
      </c>
      <c r="B1" s="1" t="s">
        <v>1108</v>
      </c>
    </row>
    <row r="2" spans="1:2">
      <c r="A2" s="64" t="s">
        <v>1121</v>
      </c>
      <c r="B2" s="39" t="str">
        <f>RIGHT(A2,LEN(A2)-SEARCH("$",SUBSTITUTE(A2,":","$",LEN(A2)-LEN(SUBSTITUTE(A2,":","")))))</f>
        <v>Problem identification</v>
      </c>
    </row>
    <row r="3" spans="1:2">
      <c r="A3" s="64" t="s">
        <v>1109</v>
      </c>
      <c r="B3" s="39" t="str">
        <f t="shared" ref="B3:B8" si="0">RIGHT(A3,LEN(A3)-SEARCH("$",SUBSTITUTE(A3,":","$",LEN(A3)-LEN(SUBSTITUTE(A3,":","")))))</f>
        <v>Establishment of a theory of possible cause.</v>
      </c>
    </row>
    <row r="4" spans="1:2">
      <c r="A4" s="64" t="s">
        <v>1110</v>
      </c>
      <c r="B4" s="39" t="str">
        <f t="shared" si="0"/>
        <v>Test the theory of the possible cause.</v>
      </c>
    </row>
    <row r="5" spans="1:2">
      <c r="A5" s="64" t="s">
        <v>1114</v>
      </c>
      <c r="B5" s="39" t="str">
        <f t="shared" si="0"/>
        <v>Potential effects identification</v>
      </c>
    </row>
    <row r="6" spans="1:2">
      <c r="A6" s="64" t="s">
        <v>1111</v>
      </c>
      <c r="B6" s="39" t="str">
        <f t="shared" si="0"/>
        <v>Plan implementation or escalation.</v>
      </c>
    </row>
    <row r="7" spans="1:2">
      <c r="A7" s="64" t="s">
        <v>1112</v>
      </c>
      <c r="B7" s="39" t="str">
        <f t="shared" si="0"/>
        <v>Full system functionality verification.</v>
      </c>
    </row>
    <row r="8" spans="1:2">
      <c r="A8" s="64" t="s">
        <v>1113</v>
      </c>
      <c r="B8" s="39" t="str">
        <f t="shared" si="0"/>
        <v>Action items, and results.</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52D-6143-4705-BD92-BBC495659ACB}">
  <sheetPr codeName="Sheet107"/>
  <dimension ref="A1:B5"/>
  <sheetViews>
    <sheetView workbookViewId="0"/>
  </sheetViews>
  <sheetFormatPr defaultRowHeight="14.4"/>
  <cols>
    <col min="1" max="1" width="28.6640625" bestFit="1" customWidth="1"/>
    <col min="2" max="2" width="33.109375" bestFit="1" customWidth="1"/>
  </cols>
  <sheetData>
    <row r="1" spans="1:2">
      <c r="A1" s="1" t="s">
        <v>1115</v>
      </c>
      <c r="B1" s="1" t="s">
        <v>1116</v>
      </c>
    </row>
    <row r="2" spans="1:2">
      <c r="A2" s="2" t="s">
        <v>1117</v>
      </c>
      <c r="B2" s="7" t="str">
        <f>LEFT(A2,LEN(A2)-(RIGHT(A2)="/"))</f>
        <v>https://www.samsung.com/us</v>
      </c>
    </row>
    <row r="3" spans="1:2">
      <c r="A3" s="2" t="s">
        <v>1118</v>
      </c>
      <c r="B3" s="7" t="str">
        <f>LEFT(A3,LEN(A3)-(RIGHT(A3)="/"))</f>
        <v>https://www.apple.com/iphone</v>
      </c>
    </row>
    <row r="4" spans="1:2">
      <c r="A4" s="2" t="s">
        <v>1119</v>
      </c>
      <c r="B4" s="7" t="str">
        <f>LEFT(A4,LEN(A4)-(RIGHT(A4)="/"))</f>
        <v>https://www.motorola.com/us</v>
      </c>
    </row>
    <row r="5" spans="1:2">
      <c r="A5" s="2" t="s">
        <v>1120</v>
      </c>
      <c r="B5" s="7" t="str">
        <f>LEFT(A5,LEN(A5)-(RIGHT(A5)="/"))</f>
        <v>https://store.google.com/us</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6F05-DFC4-4BFB-B541-BD46AF67A2F3}">
  <sheetPr codeName="Sheet108"/>
  <dimension ref="A1:E9"/>
  <sheetViews>
    <sheetView zoomScale="90" zoomScaleNormal="90" workbookViewId="0">
      <selection activeCell="C16" sqref="C16"/>
    </sheetView>
  </sheetViews>
  <sheetFormatPr defaultRowHeight="14.4"/>
  <cols>
    <col min="1" max="1" width="10.5546875" bestFit="1" customWidth="1"/>
    <col min="2" max="2" width="7.44140625" bestFit="1" customWidth="1"/>
    <col min="3" max="3" width="22.109375" bestFit="1" customWidth="1"/>
    <col min="4" max="4" width="13.44140625" bestFit="1" customWidth="1"/>
    <col min="5" max="5" width="33.88671875" bestFit="1" customWidth="1"/>
  </cols>
  <sheetData>
    <row r="1" spans="1:5">
      <c r="A1" s="1" t="s">
        <v>1122</v>
      </c>
      <c r="B1" s="1" t="s">
        <v>1136</v>
      </c>
      <c r="C1" s="1" t="s">
        <v>12</v>
      </c>
      <c r="D1" s="1" t="s">
        <v>1123</v>
      </c>
      <c r="E1" s="1" t="s">
        <v>1129</v>
      </c>
    </row>
    <row r="2" spans="1:5">
      <c r="A2" s="20">
        <f>DATE(2021,10,20)</f>
        <v>44489</v>
      </c>
      <c r="B2" s="2">
        <v>1</v>
      </c>
      <c r="C2" s="2" t="s">
        <v>1124</v>
      </c>
      <c r="D2" s="66">
        <f>EOMONTH(A2,B2)</f>
        <v>44530</v>
      </c>
      <c r="E2" s="65" t="s">
        <v>1130</v>
      </c>
    </row>
    <row r="3" spans="1:5">
      <c r="A3" s="20">
        <f>DATE(2019,3,10)</f>
        <v>43534</v>
      </c>
      <c r="B3" s="2">
        <v>5</v>
      </c>
      <c r="C3" s="2" t="s">
        <v>1125</v>
      </c>
      <c r="D3" s="66">
        <f>EOMONTH(A3,B3)</f>
        <v>43708</v>
      </c>
      <c r="E3" s="65" t="s">
        <v>1131</v>
      </c>
    </row>
    <row r="4" spans="1:5">
      <c r="A4" s="20">
        <f>DATE(2018,4,12)</f>
        <v>43202</v>
      </c>
      <c r="B4" s="2">
        <v>-3</v>
      </c>
      <c r="C4" s="2" t="s">
        <v>1126</v>
      </c>
      <c r="D4" s="66">
        <f>EOMONTH(A4,B4)</f>
        <v>43131</v>
      </c>
      <c r="E4" s="65" t="s">
        <v>1132</v>
      </c>
    </row>
    <row r="5" spans="1:5">
      <c r="A5" s="20">
        <f>DATE(2016,11,29)</f>
        <v>42703</v>
      </c>
      <c r="B5" s="2">
        <v>24</v>
      </c>
      <c r="C5" s="2" t="s">
        <v>1127</v>
      </c>
      <c r="D5" s="66">
        <f>EOMONTH(A5,B5)</f>
        <v>43434</v>
      </c>
      <c r="E5" s="65" t="s">
        <v>1133</v>
      </c>
    </row>
    <row r="6" spans="1:5">
      <c r="A6" s="20">
        <v>42234</v>
      </c>
      <c r="B6" s="2">
        <v>35</v>
      </c>
      <c r="C6" s="2" t="s">
        <v>1128</v>
      </c>
      <c r="D6" s="66">
        <f>EOMONTH(A6,B6)</f>
        <v>43312</v>
      </c>
      <c r="E6" s="65" t="s">
        <v>1134</v>
      </c>
    </row>
    <row r="9" spans="1:5">
      <c r="D9" s="48"/>
    </row>
  </sheetData>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F9F-07C3-454B-AD2E-8920CC255393}">
  <sheetPr codeName="Sheet109"/>
  <dimension ref="A1:C7"/>
  <sheetViews>
    <sheetView workbookViewId="0">
      <selection activeCell="C16" sqref="C16"/>
    </sheetView>
  </sheetViews>
  <sheetFormatPr defaultRowHeight="14.4"/>
  <cols>
    <col min="1" max="1" width="10" bestFit="1" customWidth="1"/>
    <col min="2" max="2" width="7.44140625" bestFit="1" customWidth="1"/>
    <col min="3" max="3" width="16.88671875" bestFit="1" customWidth="1"/>
  </cols>
  <sheetData>
    <row r="1" spans="1:3">
      <c r="A1" s="1" t="s">
        <v>1135</v>
      </c>
      <c r="B1" s="1" t="s">
        <v>1136</v>
      </c>
      <c r="C1" s="1" t="s">
        <v>1137</v>
      </c>
    </row>
    <row r="2" spans="1:3">
      <c r="A2" s="20">
        <f>DATE(2015,1,10)</f>
        <v>42014</v>
      </c>
      <c r="B2" s="2">
        <v>0</v>
      </c>
      <c r="C2" s="66">
        <f t="shared" ref="C2:C7" si="0">EOMONTH(A2,B2)</f>
        <v>42035</v>
      </c>
    </row>
    <row r="3" spans="1:3">
      <c r="A3" s="20">
        <f>DATE(2016,2,15)</f>
        <v>42415</v>
      </c>
      <c r="B3" s="2">
        <v>5</v>
      </c>
      <c r="C3" s="66">
        <f t="shared" si="0"/>
        <v>42582</v>
      </c>
    </row>
    <row r="4" spans="1:3">
      <c r="A4" s="20">
        <f>DATE(2017,3,20)</f>
        <v>42814</v>
      </c>
      <c r="B4" s="2">
        <v>-10</v>
      </c>
      <c r="C4" s="66">
        <f t="shared" si="0"/>
        <v>42521</v>
      </c>
    </row>
    <row r="5" spans="1:3">
      <c r="A5" s="20">
        <f>DATE(2018,4,12)</f>
        <v>43202</v>
      </c>
      <c r="B5" s="2">
        <v>-1</v>
      </c>
      <c r="C5" s="66">
        <f t="shared" si="0"/>
        <v>43190</v>
      </c>
    </row>
    <row r="6" spans="1:3">
      <c r="A6" s="20">
        <f>DATE(2019,5,28)</f>
        <v>43613</v>
      </c>
      <c r="B6" s="2">
        <v>26</v>
      </c>
      <c r="C6" s="66">
        <f t="shared" si="0"/>
        <v>44408</v>
      </c>
    </row>
    <row r="7" spans="1:3">
      <c r="A7" s="20">
        <f>DATE(2020,6,25)</f>
        <v>44007</v>
      </c>
      <c r="B7" s="2">
        <v>60</v>
      </c>
      <c r="C7" s="66">
        <f t="shared" si="0"/>
        <v>45838</v>
      </c>
    </row>
  </sheetData>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23B8-4198-4E19-A6CA-2D45305D66E9}">
  <sheetPr codeName="Sheet110"/>
  <dimension ref="A1:C6"/>
  <sheetViews>
    <sheetView workbookViewId="0">
      <selection activeCell="C16" sqref="C16"/>
    </sheetView>
  </sheetViews>
  <sheetFormatPr defaultRowHeight="14.4"/>
  <cols>
    <col min="1" max="1" width="27.6640625" bestFit="1" customWidth="1"/>
    <col min="2" max="2" width="48.6640625" bestFit="1" customWidth="1"/>
    <col min="3" max="3" width="39.5546875" bestFit="1" customWidth="1"/>
  </cols>
  <sheetData>
    <row r="1" spans="1:3">
      <c r="A1" s="1" t="s">
        <v>1138</v>
      </c>
      <c r="B1" s="1" t="s">
        <v>1144</v>
      </c>
      <c r="C1" s="1" t="s">
        <v>1145</v>
      </c>
    </row>
    <row r="2" spans="1:3">
      <c r="A2" s="2" t="s">
        <v>1142</v>
      </c>
      <c r="B2" s="66">
        <f ca="1">EOMONTH(TODAY(),-1)+1</f>
        <v>45566</v>
      </c>
      <c r="C2" s="65" t="s">
        <v>1146</v>
      </c>
    </row>
    <row r="3" spans="1:3">
      <c r="A3" s="2" t="s">
        <v>1141</v>
      </c>
      <c r="B3" s="66">
        <f ca="1">EOMONTH(TODAY(),4)+1</f>
        <v>45717</v>
      </c>
      <c r="C3" s="65" t="s">
        <v>1147</v>
      </c>
    </row>
    <row r="4" spans="1:3">
      <c r="A4" s="2" t="s">
        <v>1140</v>
      </c>
      <c r="B4" s="66">
        <f ca="1">EOMONTH(TODAY(),-2)+1</f>
        <v>45536</v>
      </c>
      <c r="C4" s="65" t="s">
        <v>1148</v>
      </c>
    </row>
    <row r="5" spans="1:3">
      <c r="A5" s="2" t="s">
        <v>1139</v>
      </c>
      <c r="B5" s="66">
        <f ca="1">EOMONTH(TODAY(),-7)+1</f>
        <v>45383</v>
      </c>
      <c r="C5" s="65" t="s">
        <v>1149</v>
      </c>
    </row>
    <row r="6" spans="1:3">
      <c r="A6" s="2" t="s">
        <v>1143</v>
      </c>
      <c r="B6" s="66">
        <f ca="1">EOMONTH(TODAY(),23)+1</f>
        <v>46296</v>
      </c>
      <c r="C6" s="65" t="s">
        <v>1150</v>
      </c>
    </row>
  </sheetData>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EDB-B462-4E9E-BDF4-BDDB21737D52}">
  <sheetPr codeName="Sheet111"/>
  <dimension ref="A1:B8"/>
  <sheetViews>
    <sheetView workbookViewId="0">
      <selection activeCell="C16" sqref="C16"/>
    </sheetView>
  </sheetViews>
  <sheetFormatPr defaultRowHeight="14.4"/>
  <cols>
    <col min="1" max="1" width="17.44140625" bestFit="1" customWidth="1"/>
    <col min="2" max="2" width="44.109375" bestFit="1" customWidth="1"/>
  </cols>
  <sheetData>
    <row r="1" spans="1:2">
      <c r="A1" s="1" t="s">
        <v>1151</v>
      </c>
      <c r="B1" s="1" t="s">
        <v>1168</v>
      </c>
    </row>
    <row r="2" spans="1:2">
      <c r="A2" s="20">
        <f>DATE(2021,10,5)</f>
        <v>44474</v>
      </c>
      <c r="B2" s="7">
        <f>DAY(EOMONTH(A2,0))</f>
        <v>31</v>
      </c>
    </row>
    <row r="3" spans="1:2">
      <c r="A3" s="20">
        <f>DATE(2021,5,25)</f>
        <v>44341</v>
      </c>
      <c r="B3" s="7">
        <f t="shared" ref="B3:B8" si="0">DAY(EOMONTH(A3,0))</f>
        <v>31</v>
      </c>
    </row>
    <row r="4" spans="1:2">
      <c r="A4" s="20">
        <f>DATE(2021,11,14)</f>
        <v>44514</v>
      </c>
      <c r="B4" s="7">
        <f t="shared" si="0"/>
        <v>30</v>
      </c>
    </row>
    <row r="5" spans="1:2">
      <c r="A5" s="20">
        <f>DATE(2021,1,17)</f>
        <v>44213</v>
      </c>
      <c r="B5" s="7">
        <f t="shared" si="0"/>
        <v>31</v>
      </c>
    </row>
    <row r="6" spans="1:2">
      <c r="A6" s="20">
        <f>DATE(2021,12,29)</f>
        <v>44559</v>
      </c>
      <c r="B6" s="7">
        <f t="shared" si="0"/>
        <v>31</v>
      </c>
    </row>
    <row r="7" spans="1:2">
      <c r="A7" s="20">
        <f>DATE(2021,3,19)</f>
        <v>44274</v>
      </c>
      <c r="B7" s="7">
        <f t="shared" si="0"/>
        <v>31</v>
      </c>
    </row>
    <row r="8" spans="1:2">
      <c r="A8" s="20">
        <f>DATE(2021,7,18)</f>
        <v>44395</v>
      </c>
      <c r="B8" s="7">
        <f t="shared" si="0"/>
        <v>31</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A014-BA34-4ED8-894D-A0CA675C0E93}">
  <sheetPr codeName="Sheet112"/>
  <dimension ref="A1:H10"/>
  <sheetViews>
    <sheetView workbookViewId="0">
      <selection activeCell="C16" sqref="C16"/>
    </sheetView>
  </sheetViews>
  <sheetFormatPr defaultRowHeight="14.4"/>
  <cols>
    <col min="1" max="1" width="14.109375" bestFit="1" customWidth="1"/>
    <col min="2" max="2" width="11.109375" bestFit="1" customWidth="1"/>
    <col min="3" max="3" width="17.33203125" bestFit="1" customWidth="1"/>
    <col min="6" max="6" width="9.88671875" bestFit="1" customWidth="1"/>
    <col min="7" max="7" width="10" bestFit="1" customWidth="1"/>
    <col min="8" max="8" width="9.88671875" bestFit="1" customWidth="1"/>
  </cols>
  <sheetData>
    <row r="1" spans="1:8">
      <c r="A1" s="1" t="s">
        <v>1152</v>
      </c>
      <c r="B1" s="20">
        <f>DATE(2022,3,15)</f>
        <v>44635</v>
      </c>
    </row>
    <row r="2" spans="1:8">
      <c r="F2" s="369" t="s">
        <v>1162</v>
      </c>
      <c r="G2" s="369"/>
      <c r="H2" s="369"/>
    </row>
    <row r="3" spans="1:8">
      <c r="A3" s="1" t="s">
        <v>1069</v>
      </c>
      <c r="B3" s="1" t="s">
        <v>1153</v>
      </c>
      <c r="C3" s="1" t="s">
        <v>1154</v>
      </c>
      <c r="F3" s="1" t="s">
        <v>1165</v>
      </c>
      <c r="G3" s="1" t="s">
        <v>1166</v>
      </c>
      <c r="H3" s="1" t="s">
        <v>1167</v>
      </c>
    </row>
    <row r="4" spans="1:8">
      <c r="A4" s="2" t="s">
        <v>1155</v>
      </c>
      <c r="B4" s="53">
        <v>20000</v>
      </c>
      <c r="C4" s="20">
        <f>DATE(2021,11,20)</f>
        <v>44520</v>
      </c>
      <c r="F4" s="67" t="str">
        <f>IF(EOMONTH($B$1,0)-C4&lt;=15,B4,"")</f>
        <v/>
      </c>
      <c r="G4" s="67" t="str">
        <f>IF(AND(EOMONTH($B$1,0)-C4&gt;=16,EOMONTH($B$1,0)-C4&lt;=45),B4,"")</f>
        <v/>
      </c>
      <c r="H4" s="67">
        <f>IF(EOMONTH($B$1,0)-C4&gt;=46,B4,"")</f>
        <v>20000</v>
      </c>
    </row>
    <row r="5" spans="1:8">
      <c r="A5" s="2" t="s">
        <v>1156</v>
      </c>
      <c r="B5" s="53">
        <v>20800</v>
      </c>
      <c r="C5" s="20">
        <f>DATE(2021,12,16)</f>
        <v>44546</v>
      </c>
      <c r="F5" s="67" t="str">
        <f t="shared" ref="F5:F10" si="0">IF(EOMONTH($B$1,0)-C5&lt;=15,B5,"")</f>
        <v/>
      </c>
      <c r="G5" s="67" t="str">
        <f t="shared" ref="G5:G10" si="1">IF(AND(EOMONTH($B$1,0)-C5&gt;=16,EOMONTH($B$1,0)-C5&lt;=45),B5,"")</f>
        <v/>
      </c>
      <c r="H5" s="67">
        <f t="shared" ref="H5:H10" si="2">IF(EOMONTH($B$1,0)-C5&gt;=46,B5,"")</f>
        <v>20800</v>
      </c>
    </row>
    <row r="6" spans="1:8">
      <c r="A6" s="2" t="s">
        <v>1157</v>
      </c>
      <c r="B6" s="53">
        <v>22000</v>
      </c>
      <c r="C6" s="20">
        <f>DATE(2022,1,14)</f>
        <v>44575</v>
      </c>
      <c r="F6" s="67" t="str">
        <f t="shared" si="0"/>
        <v/>
      </c>
      <c r="G6" s="67" t="str">
        <f t="shared" si="1"/>
        <v/>
      </c>
      <c r="H6" s="67">
        <f t="shared" si="2"/>
        <v>22000</v>
      </c>
    </row>
    <row r="7" spans="1:8">
      <c r="A7" s="2" t="s">
        <v>1158</v>
      </c>
      <c r="B7" s="53">
        <v>34000</v>
      </c>
      <c r="C7" s="20">
        <f>DATE(2022,2,1)</f>
        <v>44593</v>
      </c>
      <c r="F7" s="67" t="str">
        <f t="shared" si="0"/>
        <v/>
      </c>
      <c r="G7" s="67" t="str">
        <f t="shared" si="1"/>
        <v/>
      </c>
      <c r="H7" s="67">
        <f t="shared" si="2"/>
        <v>34000</v>
      </c>
    </row>
    <row r="8" spans="1:8">
      <c r="A8" s="2" t="s">
        <v>1161</v>
      </c>
      <c r="B8" s="53">
        <v>45200</v>
      </c>
      <c r="C8" s="20">
        <f>DATE(2022,2,5)</f>
        <v>44597</v>
      </c>
      <c r="F8" s="67" t="str">
        <f t="shared" si="0"/>
        <v/>
      </c>
      <c r="G8" s="67" t="str">
        <f t="shared" si="1"/>
        <v/>
      </c>
      <c r="H8" s="67">
        <f t="shared" si="2"/>
        <v>45200</v>
      </c>
    </row>
    <row r="9" spans="1:8">
      <c r="A9" s="2" t="s">
        <v>1159</v>
      </c>
      <c r="B9" s="53">
        <v>59700</v>
      </c>
      <c r="C9" s="20">
        <f>DATE(2022,3,3)</f>
        <v>44623</v>
      </c>
      <c r="F9" s="67" t="str">
        <f t="shared" si="0"/>
        <v/>
      </c>
      <c r="G9" s="67">
        <f t="shared" si="1"/>
        <v>59700</v>
      </c>
      <c r="H9" s="67" t="str">
        <f t="shared" si="2"/>
        <v/>
      </c>
    </row>
    <row r="10" spans="1:8">
      <c r="A10" s="2" t="s">
        <v>1160</v>
      </c>
      <c r="B10" s="53">
        <v>29000</v>
      </c>
      <c r="C10" s="20">
        <f>DATE(2022,3,20)</f>
        <v>44640</v>
      </c>
      <c r="F10" s="67">
        <f t="shared" si="0"/>
        <v>29000</v>
      </c>
      <c r="G10" s="67" t="str">
        <f t="shared" si="1"/>
        <v/>
      </c>
      <c r="H10" s="67" t="str">
        <f t="shared" si="2"/>
        <v/>
      </c>
    </row>
  </sheetData>
  <mergeCells count="1">
    <mergeCell ref="F2:H2"/>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B6AE7-3CA5-443E-9A92-9AA61725543B}">
  <sheetPr codeName="Sheet113"/>
  <dimension ref="A1:C2"/>
  <sheetViews>
    <sheetView workbookViewId="0"/>
  </sheetViews>
  <sheetFormatPr defaultRowHeight="14.4"/>
  <cols>
    <col min="1" max="1" width="22.5546875" bestFit="1" customWidth="1"/>
    <col min="2" max="2" width="7.44140625" bestFit="1" customWidth="1"/>
    <col min="3" max="3" width="31.44140625" bestFit="1" customWidth="1"/>
  </cols>
  <sheetData>
    <row r="1" spans="1:3">
      <c r="A1" s="1" t="s">
        <v>1164</v>
      </c>
      <c r="B1" s="1" t="s">
        <v>1136</v>
      </c>
      <c r="C1" s="1" t="s">
        <v>1163</v>
      </c>
    </row>
    <row r="2" spans="1:3">
      <c r="A2" s="20">
        <f>DATE(2022,3,10)</f>
        <v>44630</v>
      </c>
      <c r="B2" s="7">
        <v>0</v>
      </c>
      <c r="C2" s="66">
        <f>EOMONTH(A2,B2)</f>
        <v>44651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E60-884A-496D-99C9-5F27FADB02AF}">
  <sheetPr codeName="Sheet114"/>
  <dimension ref="A1:D19"/>
  <sheetViews>
    <sheetView zoomScale="90" zoomScaleNormal="90" workbookViewId="0">
      <selection activeCell="E22" sqref="E22"/>
    </sheetView>
  </sheetViews>
  <sheetFormatPr defaultRowHeight="14.4"/>
  <cols>
    <col min="1" max="1" width="22.5546875" bestFit="1" customWidth="1"/>
    <col min="2" max="2" width="13.5546875" bestFit="1" customWidth="1"/>
    <col min="3" max="3" width="24.5546875" bestFit="1" customWidth="1"/>
    <col min="4" max="4" width="53.33203125" bestFit="1" customWidth="1"/>
  </cols>
  <sheetData>
    <row r="1" spans="1:4">
      <c r="A1" s="1" t="s">
        <v>32</v>
      </c>
      <c r="B1" s="1" t="s">
        <v>1169</v>
      </c>
      <c r="C1" s="44" t="s">
        <v>1170</v>
      </c>
      <c r="D1" s="25" t="s">
        <v>1171</v>
      </c>
    </row>
    <row r="2" spans="1:4">
      <c r="A2" s="20">
        <v>44221</v>
      </c>
      <c r="B2" s="2">
        <v>20500</v>
      </c>
      <c r="C2" s="14"/>
    </row>
    <row r="3" spans="1:4">
      <c r="A3" s="20">
        <v>44252</v>
      </c>
      <c r="B3" s="2">
        <v>21890</v>
      </c>
      <c r="C3" s="14"/>
    </row>
    <row r="4" spans="1:4">
      <c r="A4" s="20">
        <v>44280</v>
      </c>
      <c r="B4" s="2">
        <v>23450</v>
      </c>
      <c r="C4" s="14"/>
    </row>
    <row r="5" spans="1:4">
      <c r="A5" s="20">
        <v>44311</v>
      </c>
      <c r="B5" s="2">
        <v>24740</v>
      </c>
      <c r="C5" s="14"/>
    </row>
    <row r="6" spans="1:4">
      <c r="A6" s="20">
        <v>44341</v>
      </c>
      <c r="B6" s="2">
        <v>26320</v>
      </c>
      <c r="C6" s="14"/>
    </row>
    <row r="7" spans="1:4">
      <c r="A7" s="20">
        <v>44372</v>
      </c>
      <c r="B7" s="2">
        <v>27190</v>
      </c>
      <c r="C7" s="14"/>
    </row>
    <row r="8" spans="1:4">
      <c r="A8" s="20">
        <v>44402</v>
      </c>
      <c r="B8" s="2">
        <v>28200</v>
      </c>
      <c r="C8" s="14"/>
    </row>
    <row r="9" spans="1:4">
      <c r="A9" s="20">
        <v>44433</v>
      </c>
      <c r="B9" s="2">
        <v>29260</v>
      </c>
      <c r="C9" s="14"/>
    </row>
    <row r="10" spans="1:4">
      <c r="A10" s="20">
        <v>44464</v>
      </c>
      <c r="B10" s="2">
        <v>30000</v>
      </c>
      <c r="C10" s="14"/>
    </row>
    <row r="11" spans="1:4">
      <c r="A11" s="20">
        <v>44494</v>
      </c>
      <c r="B11" s="2">
        <v>31980</v>
      </c>
      <c r="C11" s="14"/>
    </row>
    <row r="12" spans="1:4">
      <c r="A12" s="20">
        <v>44525</v>
      </c>
      <c r="B12" s="2">
        <v>32730</v>
      </c>
      <c r="C12" s="14"/>
    </row>
    <row r="13" spans="1:4">
      <c r="A13" s="20">
        <v>44555</v>
      </c>
      <c r="B13" s="2">
        <v>33410</v>
      </c>
      <c r="C13" s="14"/>
    </row>
    <row r="14" spans="1:4">
      <c r="A14" s="20">
        <v>44586</v>
      </c>
      <c r="B14" s="2"/>
      <c r="C14" s="7">
        <f t="shared" ref="C14:C19" si="0">FORECAST(A14,$B$2:$B$13,$A$2:$A$13)</f>
        <v>35121.877375671407</v>
      </c>
      <c r="D14" s="65" t="s">
        <v>1172</v>
      </c>
    </row>
    <row r="15" spans="1:4">
      <c r="A15" s="20">
        <v>44617</v>
      </c>
      <c r="B15" s="2"/>
      <c r="C15" s="7">
        <f t="shared" si="0"/>
        <v>36316.490467086202</v>
      </c>
      <c r="D15" s="65" t="s">
        <v>1173</v>
      </c>
    </row>
    <row r="16" spans="1:4">
      <c r="A16" s="20">
        <v>44645</v>
      </c>
      <c r="B16" s="2"/>
      <c r="C16" s="7">
        <f t="shared" si="0"/>
        <v>37395.495839976938</v>
      </c>
      <c r="D16" s="65" t="s">
        <v>1174</v>
      </c>
    </row>
    <row r="17" spans="1:4">
      <c r="A17" s="20">
        <v>44676</v>
      </c>
      <c r="B17" s="2"/>
      <c r="C17" s="7">
        <f t="shared" si="0"/>
        <v>38590.108931391733</v>
      </c>
      <c r="D17" s="65" t="s">
        <v>1175</v>
      </c>
    </row>
    <row r="18" spans="1:4">
      <c r="A18" s="20">
        <v>44706</v>
      </c>
      <c r="B18" s="2"/>
      <c r="C18" s="7">
        <f t="shared" si="0"/>
        <v>39746.186116631608</v>
      </c>
      <c r="D18" s="65" t="s">
        <v>1176</v>
      </c>
    </row>
    <row r="19" spans="1:4">
      <c r="A19" s="20">
        <v>44737</v>
      </c>
      <c r="B19" s="2"/>
      <c r="C19" s="7">
        <f t="shared" si="0"/>
        <v>40940.799208046403</v>
      </c>
      <c r="D19" s="65" t="s">
        <v>1177</v>
      </c>
    </row>
  </sheetData>
  <pageMargins left="0.7" right="0.7" top="0.75" bottom="0.75" header="0.3" footer="0.3"/>
  <pageSetup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8561-4628-4949-842F-32DB5CDDA3FF}">
  <sheetPr codeName="Sheet115"/>
  <dimension ref="A1:C21"/>
  <sheetViews>
    <sheetView zoomScale="90" zoomScaleNormal="90" workbookViewId="0">
      <selection activeCell="E22" sqref="E22"/>
    </sheetView>
  </sheetViews>
  <sheetFormatPr defaultRowHeight="14.4"/>
  <cols>
    <col min="1" max="1" width="12.44140625" bestFit="1" customWidth="1"/>
    <col min="2" max="2" width="30.44140625" bestFit="1" customWidth="1"/>
    <col min="3" max="3" width="14.109375" bestFit="1" customWidth="1"/>
  </cols>
  <sheetData>
    <row r="1" spans="1:3">
      <c r="A1" s="1" t="s">
        <v>1178</v>
      </c>
      <c r="B1" s="1" t="s">
        <v>1180</v>
      </c>
      <c r="C1" s="1" t="s">
        <v>1179</v>
      </c>
    </row>
    <row r="2" spans="1:3">
      <c r="A2" s="20">
        <v>44682</v>
      </c>
      <c r="B2" s="2">
        <v>110</v>
      </c>
      <c r="C2" s="73"/>
    </row>
    <row r="3" spans="1:3">
      <c r="A3" s="20">
        <v>44683</v>
      </c>
      <c r="B3" s="2">
        <v>135</v>
      </c>
      <c r="C3" s="74"/>
    </row>
    <row r="4" spans="1:3">
      <c r="A4" s="20">
        <v>44684</v>
      </c>
      <c r="B4" s="2">
        <v>120</v>
      </c>
      <c r="C4" s="74"/>
    </row>
    <row r="5" spans="1:3">
      <c r="A5" s="20">
        <v>44685</v>
      </c>
      <c r="B5" s="2">
        <v>140</v>
      </c>
      <c r="C5" s="74"/>
    </row>
    <row r="6" spans="1:3">
      <c r="A6" s="20">
        <v>44686</v>
      </c>
      <c r="B6" s="2">
        <v>145</v>
      </c>
      <c r="C6" s="74"/>
    </row>
    <row r="7" spans="1:3">
      <c r="A7" s="20">
        <v>44687</v>
      </c>
      <c r="B7" s="2">
        <v>165</v>
      </c>
      <c r="C7" s="74"/>
    </row>
    <row r="8" spans="1:3">
      <c r="A8" s="20">
        <v>44688</v>
      </c>
      <c r="B8" s="2">
        <v>150</v>
      </c>
      <c r="C8" s="74"/>
    </row>
    <row r="9" spans="1:3">
      <c r="A9" s="20">
        <v>44689</v>
      </c>
      <c r="B9" s="2">
        <v>155</v>
      </c>
      <c r="C9" s="74"/>
    </row>
    <row r="10" spans="1:3">
      <c r="A10" s="20">
        <v>44690</v>
      </c>
      <c r="B10" s="2">
        <v>163</v>
      </c>
      <c r="C10" s="74"/>
    </row>
    <row r="11" spans="1:3">
      <c r="A11" s="20">
        <v>44691</v>
      </c>
      <c r="B11" s="71">
        <v>170</v>
      </c>
      <c r="C11" s="75"/>
    </row>
    <row r="12" spans="1:3">
      <c r="A12" s="69">
        <v>44692</v>
      </c>
      <c r="B12" s="71"/>
      <c r="C12" s="70">
        <f>FORECAST(A12,$B$2:$B$11,$A$2:$A$11)</f>
        <v>177.33333333331393</v>
      </c>
    </row>
    <row r="13" spans="1:3">
      <c r="A13" s="69">
        <v>44693</v>
      </c>
      <c r="B13" s="72"/>
      <c r="C13" s="70">
        <f t="shared" ref="C13:C21" si="0">FORECAST(A13,$B$2:$B$11,$A$2:$A$11)</f>
        <v>183.15757575756288</v>
      </c>
    </row>
    <row r="14" spans="1:3">
      <c r="A14" s="69">
        <v>44694</v>
      </c>
      <c r="B14" s="72"/>
      <c r="C14" s="70">
        <f t="shared" si="0"/>
        <v>188.98181818181183</v>
      </c>
    </row>
    <row r="15" spans="1:3">
      <c r="A15" s="69">
        <v>44695</v>
      </c>
      <c r="B15" s="72"/>
      <c r="C15" s="70">
        <f t="shared" si="0"/>
        <v>194.80606060603168</v>
      </c>
    </row>
    <row r="16" spans="1:3">
      <c r="A16" s="69">
        <v>44696</v>
      </c>
      <c r="B16" s="72"/>
      <c r="C16" s="70">
        <f t="shared" si="0"/>
        <v>200.63030303028063</v>
      </c>
    </row>
    <row r="17" spans="1:3">
      <c r="A17" s="69">
        <v>44697</v>
      </c>
      <c r="B17" s="72"/>
      <c r="C17" s="70">
        <f t="shared" si="0"/>
        <v>206.45454545452958</v>
      </c>
    </row>
    <row r="18" spans="1:3">
      <c r="A18" s="69">
        <v>44698</v>
      </c>
      <c r="B18" s="72"/>
      <c r="C18" s="70">
        <f t="shared" si="0"/>
        <v>212.27878787877853</v>
      </c>
    </row>
    <row r="19" spans="1:3">
      <c r="A19" s="69">
        <v>44699</v>
      </c>
      <c r="B19" s="72"/>
      <c r="C19" s="70">
        <f t="shared" si="0"/>
        <v>218.10303030302748</v>
      </c>
    </row>
    <row r="20" spans="1:3">
      <c r="A20" s="69">
        <v>44700</v>
      </c>
      <c r="B20" s="72"/>
      <c r="C20" s="70">
        <f t="shared" si="0"/>
        <v>223.92727272724733</v>
      </c>
    </row>
    <row r="21" spans="1:3">
      <c r="A21" s="69">
        <v>44701</v>
      </c>
      <c r="B21" s="61"/>
      <c r="C21" s="70">
        <f t="shared" si="0"/>
        <v>229.75151515149628</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A42E-945F-4F5C-8DBF-988596B39F25}">
  <sheetPr codeName="Sheet116"/>
  <dimension ref="A1:F19"/>
  <sheetViews>
    <sheetView zoomScaleNormal="100" workbookViewId="0">
      <selection activeCell="E22" sqref="E22"/>
    </sheetView>
  </sheetViews>
  <sheetFormatPr defaultRowHeight="14.4"/>
  <cols>
    <col min="1" max="1" width="49.5546875" bestFit="1" customWidth="1"/>
    <col min="2" max="2" width="13.33203125" bestFit="1" customWidth="1"/>
    <col min="3" max="4" width="11" customWidth="1"/>
    <col min="5" max="5" width="23.6640625" customWidth="1"/>
    <col min="6" max="6" width="13.5546875" customWidth="1"/>
  </cols>
  <sheetData>
    <row r="1" spans="1:6">
      <c r="A1" s="1" t="s">
        <v>1182</v>
      </c>
      <c r="B1" s="1" t="s">
        <v>1181</v>
      </c>
      <c r="C1" s="68"/>
      <c r="D1" s="68"/>
      <c r="E1" s="68"/>
      <c r="F1" s="1"/>
    </row>
    <row r="2" spans="1:6">
      <c r="A2" s="2">
        <v>50</v>
      </c>
      <c r="B2" s="2">
        <v>10</v>
      </c>
      <c r="C2" s="2">
        <f>A2-$B$15</f>
        <v>13.799999999999997</v>
      </c>
      <c r="D2" s="2">
        <f>B2-$B$16</f>
        <v>-12.3</v>
      </c>
      <c r="E2" s="2">
        <f>C2*D2</f>
        <v>-169.73999999999998</v>
      </c>
      <c r="F2" s="2">
        <f>C2*C2</f>
        <v>190.43999999999991</v>
      </c>
    </row>
    <row r="3" spans="1:6">
      <c r="A3" s="2">
        <v>55</v>
      </c>
      <c r="B3" s="2">
        <v>14</v>
      </c>
      <c r="C3" s="2">
        <f t="shared" ref="C3:C11" si="0">A3-$B$15</f>
        <v>18.799999999999997</v>
      </c>
      <c r="D3" s="2">
        <f t="shared" ref="D3:D11" si="1">B3-$B$16</f>
        <v>-8.3000000000000007</v>
      </c>
      <c r="E3" s="2">
        <f t="shared" ref="E3:E11" si="2">C3*D3</f>
        <v>-156.04</v>
      </c>
      <c r="F3" s="2">
        <f t="shared" ref="F3:F11" si="3">C3*C3</f>
        <v>353.43999999999988</v>
      </c>
    </row>
    <row r="4" spans="1:6">
      <c r="A4" s="2">
        <v>24</v>
      </c>
      <c r="B4" s="2">
        <v>16</v>
      </c>
      <c r="C4" s="2">
        <f t="shared" si="0"/>
        <v>-12.200000000000003</v>
      </c>
      <c r="D4" s="2">
        <f t="shared" si="1"/>
        <v>-6.3000000000000007</v>
      </c>
      <c r="E4" s="2">
        <f t="shared" si="2"/>
        <v>76.860000000000028</v>
      </c>
      <c r="F4" s="2">
        <f t="shared" si="3"/>
        <v>148.84000000000006</v>
      </c>
    </row>
    <row r="5" spans="1:6">
      <c r="A5" s="2">
        <v>22</v>
      </c>
      <c r="B5" s="2">
        <v>20</v>
      </c>
      <c r="C5" s="2">
        <f t="shared" si="0"/>
        <v>-14.200000000000003</v>
      </c>
      <c r="D5" s="2">
        <f t="shared" si="1"/>
        <v>-2.3000000000000007</v>
      </c>
      <c r="E5" s="2">
        <f t="shared" si="2"/>
        <v>32.660000000000018</v>
      </c>
      <c r="F5" s="2">
        <f t="shared" si="3"/>
        <v>201.64000000000007</v>
      </c>
    </row>
    <row r="6" spans="1:6">
      <c r="A6" s="2">
        <v>39</v>
      </c>
      <c r="B6" s="2">
        <v>23</v>
      </c>
      <c r="C6" s="2">
        <f t="shared" si="0"/>
        <v>2.7999999999999972</v>
      </c>
      <c r="D6" s="2">
        <f t="shared" si="1"/>
        <v>0.69999999999999929</v>
      </c>
      <c r="E6" s="2">
        <f t="shared" si="2"/>
        <v>1.959999999999996</v>
      </c>
      <c r="F6" s="2">
        <f t="shared" si="3"/>
        <v>7.8399999999999839</v>
      </c>
    </row>
    <row r="7" spans="1:6">
      <c r="A7" s="2">
        <v>40</v>
      </c>
      <c r="B7" s="2">
        <v>29</v>
      </c>
      <c r="C7" s="2">
        <f t="shared" si="0"/>
        <v>3.7999999999999972</v>
      </c>
      <c r="D7" s="2">
        <f t="shared" si="1"/>
        <v>6.6999999999999993</v>
      </c>
      <c r="E7" s="2">
        <f t="shared" si="2"/>
        <v>25.45999999999998</v>
      </c>
      <c r="F7" s="2">
        <f t="shared" si="3"/>
        <v>14.439999999999978</v>
      </c>
    </row>
    <row r="8" spans="1:6">
      <c r="A8" s="2">
        <v>58</v>
      </c>
      <c r="B8" s="2">
        <v>31</v>
      </c>
      <c r="C8" s="2">
        <f t="shared" si="0"/>
        <v>21.799999999999997</v>
      </c>
      <c r="D8" s="2">
        <f t="shared" si="1"/>
        <v>8.6999999999999993</v>
      </c>
      <c r="E8" s="2">
        <f t="shared" si="2"/>
        <v>189.65999999999997</v>
      </c>
      <c r="F8" s="2">
        <f t="shared" si="3"/>
        <v>475.2399999999999</v>
      </c>
    </row>
    <row r="9" spans="1:6">
      <c r="A9" s="2">
        <v>30</v>
      </c>
      <c r="B9" s="2">
        <v>34</v>
      </c>
      <c r="C9" s="2">
        <f t="shared" si="0"/>
        <v>-6.2000000000000028</v>
      </c>
      <c r="D9" s="2">
        <f t="shared" si="1"/>
        <v>11.7</v>
      </c>
      <c r="E9" s="2">
        <f t="shared" si="2"/>
        <v>-72.540000000000035</v>
      </c>
      <c r="F9" s="2">
        <f t="shared" si="3"/>
        <v>38.440000000000033</v>
      </c>
    </row>
    <row r="10" spans="1:6">
      <c r="A10" s="2">
        <v>18</v>
      </c>
      <c r="B10" s="2">
        <v>25</v>
      </c>
      <c r="C10" s="2">
        <f t="shared" si="0"/>
        <v>-18.200000000000003</v>
      </c>
      <c r="D10" s="2">
        <f t="shared" si="1"/>
        <v>2.6999999999999993</v>
      </c>
      <c r="E10" s="2">
        <f t="shared" si="2"/>
        <v>-49.139999999999993</v>
      </c>
      <c r="F10" s="2">
        <f t="shared" si="3"/>
        <v>331.24000000000012</v>
      </c>
    </row>
    <row r="11" spans="1:6">
      <c r="A11" s="2">
        <v>26</v>
      </c>
      <c r="B11" s="2">
        <v>21</v>
      </c>
      <c r="C11" s="2">
        <f t="shared" si="0"/>
        <v>-10.200000000000003</v>
      </c>
      <c r="D11" s="2">
        <f t="shared" si="1"/>
        <v>-1.3000000000000007</v>
      </c>
      <c r="E11" s="2">
        <f t="shared" si="2"/>
        <v>13.26000000000001</v>
      </c>
      <c r="F11" s="2">
        <f t="shared" si="3"/>
        <v>104.04000000000006</v>
      </c>
    </row>
    <row r="13" spans="1:6">
      <c r="A13" s="1" t="s">
        <v>1183</v>
      </c>
      <c r="B13" s="7">
        <f>FORECAST(28,B2:B11,A2:A11)</f>
        <v>22.77294168096055</v>
      </c>
    </row>
    <row r="15" spans="1:6">
      <c r="A15" s="55"/>
      <c r="B15" s="7">
        <f>AVERAGE(A2:A11)</f>
        <v>36.200000000000003</v>
      </c>
    </row>
    <row r="16" spans="1:6">
      <c r="A16" s="55"/>
      <c r="B16" s="7">
        <f>AVERAGE(B2:B11)</f>
        <v>22.3</v>
      </c>
    </row>
    <row r="17" spans="1:2">
      <c r="A17" s="7" t="s">
        <v>1184</v>
      </c>
      <c r="B17" s="7">
        <f>SUM(E2:E11)/SUM(F2:F11)</f>
        <v>-5.7675814751286456E-2</v>
      </c>
    </row>
    <row r="18" spans="1:2">
      <c r="A18" s="7" t="s">
        <v>1185</v>
      </c>
      <c r="B18" s="7">
        <f>B16-(B17*B15)</f>
        <v>24.38786449399657</v>
      </c>
    </row>
    <row r="19" spans="1:2">
      <c r="A19" s="1" t="s">
        <v>1186</v>
      </c>
      <c r="B19" s="7">
        <f>B18+(B17*28)</f>
        <v>22.77294168096055</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17CA-0CAB-4FBF-B5A4-A7B9E4AA3F1F}">
  <sheetPr codeName="Sheet117"/>
  <dimension ref="A1:C7"/>
  <sheetViews>
    <sheetView workbookViewId="0"/>
  </sheetViews>
  <sheetFormatPr defaultRowHeight="14.4"/>
  <cols>
    <col min="1" max="1" width="4.88671875" bestFit="1" customWidth="1"/>
    <col min="2" max="2" width="10.44140625" bestFit="1" customWidth="1"/>
    <col min="3" max="3" width="14.5546875" bestFit="1" customWidth="1"/>
    <col min="8" max="8" width="11.88671875" bestFit="1" customWidth="1"/>
  </cols>
  <sheetData>
    <row r="1" spans="1:3">
      <c r="A1" s="1" t="s">
        <v>33</v>
      </c>
      <c r="B1" s="1" t="s">
        <v>857</v>
      </c>
      <c r="C1" s="1" t="s">
        <v>1187</v>
      </c>
    </row>
    <row r="2" spans="1:3">
      <c r="A2" s="2">
        <v>2017</v>
      </c>
      <c r="B2" s="2">
        <v>2000000</v>
      </c>
      <c r="C2" s="2">
        <v>500000</v>
      </c>
    </row>
    <row r="3" spans="1:3">
      <c r="A3" s="2">
        <v>2018</v>
      </c>
      <c r="B3" s="2">
        <v>2400000</v>
      </c>
      <c r="C3" s="2">
        <v>560000</v>
      </c>
    </row>
    <row r="4" spans="1:3">
      <c r="A4" s="2">
        <v>2019</v>
      </c>
      <c r="B4" s="2">
        <v>3000000</v>
      </c>
      <c r="C4" s="2">
        <v>610000</v>
      </c>
    </row>
    <row r="5" spans="1:3">
      <c r="A5" s="2">
        <v>2020</v>
      </c>
      <c r="B5" s="2">
        <v>3900000</v>
      </c>
      <c r="C5" s="2">
        <v>700000</v>
      </c>
    </row>
    <row r="6" spans="1:3">
      <c r="A6" s="2">
        <v>2021</v>
      </c>
      <c r="B6" s="2">
        <v>4500000</v>
      </c>
      <c r="C6" s="2">
        <v>780000</v>
      </c>
    </row>
    <row r="7" spans="1:3">
      <c r="A7" s="2">
        <v>2022</v>
      </c>
      <c r="B7" s="2">
        <v>5900000</v>
      </c>
      <c r="C7" s="7">
        <f>_xlfn.FORECAST.LINEAR(B7,C2:C6,B2:B6)</f>
        <v>923662.62814538681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BC2A-444B-4B1B-B225-36F06234DDB0}">
  <sheetPr codeName="Sheet118"/>
  <dimension ref="A1:B12"/>
  <sheetViews>
    <sheetView workbookViewId="0">
      <selection activeCell="B12" sqref="B12"/>
    </sheetView>
  </sheetViews>
  <sheetFormatPr defaultRowHeight="14.4"/>
  <cols>
    <col min="1" max="1" width="18.33203125" bestFit="1" customWidth="1"/>
  </cols>
  <sheetData>
    <row r="1" spans="1:2">
      <c r="A1" s="1" t="s">
        <v>1188</v>
      </c>
    </row>
    <row r="2" spans="1:2">
      <c r="A2" s="2">
        <v>154</v>
      </c>
    </row>
    <row r="3" spans="1:2">
      <c r="A3" s="2">
        <v>150</v>
      </c>
    </row>
    <row r="4" spans="1:2">
      <c r="A4" s="2">
        <v>165</v>
      </c>
    </row>
    <row r="5" spans="1:2">
      <c r="A5" s="2">
        <v>173</v>
      </c>
    </row>
    <row r="6" spans="1:2">
      <c r="A6" s="2">
        <v>166</v>
      </c>
    </row>
    <row r="7" spans="1:2">
      <c r="A7" s="2">
        <v>153</v>
      </c>
    </row>
    <row r="8" spans="1:2">
      <c r="A8" s="2">
        <v>159</v>
      </c>
    </row>
    <row r="9" spans="1:2">
      <c r="A9" s="2">
        <v>160</v>
      </c>
    </row>
    <row r="10" spans="1:2">
      <c r="A10" s="2">
        <v>162</v>
      </c>
    </row>
    <row r="12" spans="1:2">
      <c r="A12" s="1" t="s">
        <v>1189</v>
      </c>
      <c r="B12" s="7">
        <f>MEDIAN(A2:A10)</f>
        <v>160</v>
      </c>
    </row>
  </sheetData>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9ABB-455E-48EB-800A-5E50E8DCEE0B}">
  <sheetPr codeName="Sheet119"/>
  <dimension ref="A1:C10"/>
  <sheetViews>
    <sheetView zoomScaleNormal="100" workbookViewId="0">
      <selection activeCell="B12" sqref="B12"/>
    </sheetView>
  </sheetViews>
  <sheetFormatPr defaultRowHeight="14.4"/>
  <cols>
    <col min="1" max="1" width="13.6640625" bestFit="1" customWidth="1"/>
    <col min="2" max="2" width="31.88671875" bestFit="1" customWidth="1"/>
    <col min="3" max="3" width="30.44140625" bestFit="1" customWidth="1"/>
  </cols>
  <sheetData>
    <row r="1" spans="1:3">
      <c r="A1" s="1" t="s">
        <v>1194</v>
      </c>
      <c r="B1" s="1" t="s">
        <v>1190</v>
      </c>
      <c r="C1" s="1" t="s">
        <v>1191</v>
      </c>
    </row>
    <row r="2" spans="1:3">
      <c r="A2" s="2" t="s">
        <v>1195</v>
      </c>
      <c r="B2" s="2">
        <v>1000</v>
      </c>
      <c r="C2" s="2">
        <v>1500</v>
      </c>
    </row>
    <row r="3" spans="1:3">
      <c r="A3" s="2" t="s">
        <v>1196</v>
      </c>
      <c r="B3" s="2">
        <v>1250</v>
      </c>
      <c r="C3" s="2">
        <v>1480</v>
      </c>
    </row>
    <row r="4" spans="1:3">
      <c r="A4" s="2" t="s">
        <v>1197</v>
      </c>
      <c r="B4" s="2">
        <v>1365</v>
      </c>
      <c r="C4" s="2">
        <v>1200</v>
      </c>
    </row>
    <row r="5" spans="1:3">
      <c r="A5" s="2" t="s">
        <v>1198</v>
      </c>
      <c r="B5" s="2">
        <v>1490</v>
      </c>
      <c r="C5" s="2">
        <v>1320</v>
      </c>
    </row>
    <row r="6" spans="1:3">
      <c r="A6" s="2" t="s">
        <v>1199</v>
      </c>
      <c r="B6" s="2"/>
      <c r="C6" s="2">
        <v>2000</v>
      </c>
    </row>
    <row r="9" spans="1:3">
      <c r="A9" s="1" t="s">
        <v>1192</v>
      </c>
      <c r="B9" s="7">
        <f>MEDIAN(B2:B5)</f>
        <v>1307.5</v>
      </c>
    </row>
    <row r="10" spans="1:3">
      <c r="A10" s="1" t="s">
        <v>1193</v>
      </c>
      <c r="B10" s="7">
        <f>MEDIAN(C2:C6)</f>
        <v>1480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95B-52FE-4B63-A318-FA8DEEDC0D12}">
  <sheetPr codeName="Sheet120"/>
  <dimension ref="A1:B14"/>
  <sheetViews>
    <sheetView workbookViewId="0">
      <selection activeCell="B12" sqref="B12"/>
    </sheetView>
  </sheetViews>
  <sheetFormatPr defaultRowHeight="14.4"/>
  <cols>
    <col min="1" max="1" width="23.88671875" bestFit="1" customWidth="1"/>
    <col min="2" max="2" width="27.109375" bestFit="1" customWidth="1"/>
  </cols>
  <sheetData>
    <row r="1" spans="1:2">
      <c r="A1" s="1" t="s">
        <v>0</v>
      </c>
      <c r="B1" s="1" t="s">
        <v>1200</v>
      </c>
    </row>
    <row r="2" spans="1:2">
      <c r="A2" s="2" t="s">
        <v>1201</v>
      </c>
      <c r="B2" s="2">
        <v>98</v>
      </c>
    </row>
    <row r="3" spans="1:2">
      <c r="A3" s="2" t="s">
        <v>1202</v>
      </c>
      <c r="B3" s="2">
        <v>95</v>
      </c>
    </row>
    <row r="4" spans="1:2">
      <c r="A4" s="2" t="s">
        <v>1203</v>
      </c>
      <c r="B4" s="2" t="s">
        <v>1211</v>
      </c>
    </row>
    <row r="5" spans="1:2">
      <c r="A5" s="2" t="s">
        <v>1204</v>
      </c>
      <c r="B5" s="2">
        <v>86</v>
      </c>
    </row>
    <row r="6" spans="1:2">
      <c r="A6" s="2" t="s">
        <v>1205</v>
      </c>
      <c r="B6" s="2">
        <v>70</v>
      </c>
    </row>
    <row r="7" spans="1:2">
      <c r="A7" s="2" t="s">
        <v>1206</v>
      </c>
      <c r="B7" s="2" t="s">
        <v>1211</v>
      </c>
    </row>
    <row r="8" spans="1:2">
      <c r="A8" s="2" t="s">
        <v>1207</v>
      </c>
      <c r="B8" s="2">
        <v>80</v>
      </c>
    </row>
    <row r="9" spans="1:2">
      <c r="A9" s="2" t="s">
        <v>1208</v>
      </c>
      <c r="B9" s="2">
        <v>89</v>
      </c>
    </row>
    <row r="10" spans="1:2">
      <c r="A10" s="2" t="s">
        <v>1209</v>
      </c>
      <c r="B10" s="2">
        <v>100</v>
      </c>
    </row>
    <row r="11" spans="1:2">
      <c r="A11" s="2" t="s">
        <v>1210</v>
      </c>
      <c r="B11" s="2" t="s">
        <v>1211</v>
      </c>
    </row>
    <row r="14" spans="1:2">
      <c r="A14" s="1" t="s">
        <v>1212</v>
      </c>
      <c r="B14" s="7">
        <f>MEDIAN(B2:B11)</f>
        <v>89</v>
      </c>
    </row>
  </sheetData>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522C-5130-42FA-94F1-12290D77B95A}">
  <sheetPr codeName="Sheet121"/>
  <dimension ref="A1:E15"/>
  <sheetViews>
    <sheetView workbookViewId="0">
      <selection activeCell="B12" sqref="B12"/>
    </sheetView>
  </sheetViews>
  <sheetFormatPr defaultRowHeight="14.4"/>
  <cols>
    <col min="1" max="1" width="10.44140625" bestFit="1" customWidth="1"/>
    <col min="2" max="2" width="16.44140625" bestFit="1" customWidth="1"/>
    <col min="4" max="4" width="17.5546875" bestFit="1" customWidth="1"/>
    <col min="5" max="5" width="9.44140625" bestFit="1" customWidth="1"/>
  </cols>
  <sheetData>
    <row r="1" spans="1:5">
      <c r="A1" s="1" t="s">
        <v>670</v>
      </c>
      <c r="B1" s="1" t="s">
        <v>1213</v>
      </c>
      <c r="D1" s="1" t="s">
        <v>1214</v>
      </c>
      <c r="E1" s="66">
        <f>MEDIAN(A2:A13)</f>
        <v>44392.5</v>
      </c>
    </row>
    <row r="2" spans="1:5">
      <c r="A2" s="20">
        <v>44227</v>
      </c>
      <c r="B2" s="2">
        <v>50000</v>
      </c>
      <c r="D2" s="1" t="s">
        <v>1215</v>
      </c>
      <c r="E2" s="7">
        <f>MEDIAN(B2:B13)</f>
        <v>55500</v>
      </c>
    </row>
    <row r="3" spans="1:5">
      <c r="A3" s="20">
        <v>44255</v>
      </c>
      <c r="B3" s="2">
        <v>54000</v>
      </c>
    </row>
    <row r="4" spans="1:5">
      <c r="A4" s="20">
        <v>44286</v>
      </c>
      <c r="B4" s="2">
        <v>57000</v>
      </c>
    </row>
    <row r="5" spans="1:5">
      <c r="A5" s="20">
        <v>44316</v>
      </c>
      <c r="B5" s="2">
        <v>49000</v>
      </c>
    </row>
    <row r="6" spans="1:5">
      <c r="A6" s="20">
        <v>44347</v>
      </c>
      <c r="B6" s="2">
        <v>60000</v>
      </c>
    </row>
    <row r="7" spans="1:5">
      <c r="A7" s="20">
        <v>44377</v>
      </c>
      <c r="B7" s="2">
        <v>68000</v>
      </c>
    </row>
    <row r="8" spans="1:5">
      <c r="A8" s="20">
        <v>44408</v>
      </c>
      <c r="B8" s="2">
        <v>53000</v>
      </c>
    </row>
    <row r="9" spans="1:5">
      <c r="A9" s="20">
        <v>44439</v>
      </c>
      <c r="B9" s="2">
        <v>59000</v>
      </c>
    </row>
    <row r="10" spans="1:5">
      <c r="A10" s="20">
        <v>44469</v>
      </c>
      <c r="B10" s="2">
        <v>60000</v>
      </c>
    </row>
    <row r="11" spans="1:5">
      <c r="A11" s="20">
        <v>44500</v>
      </c>
      <c r="B11" s="2">
        <v>42000</v>
      </c>
    </row>
    <row r="12" spans="1:5">
      <c r="A12" s="20">
        <v>44530</v>
      </c>
      <c r="B12" s="2">
        <v>61000</v>
      </c>
    </row>
    <row r="13" spans="1:5">
      <c r="A13" s="20">
        <v>44561</v>
      </c>
      <c r="B13" s="2">
        <v>53000</v>
      </c>
    </row>
    <row r="15" spans="1:5">
      <c r="A15" s="48"/>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CDF7A-146D-4B85-8E09-17155F4BFC5B}">
  <sheetPr codeName="Sheet122"/>
  <dimension ref="A1:I21"/>
  <sheetViews>
    <sheetView zoomScale="90" zoomScaleNormal="90" workbookViewId="0">
      <selection activeCell="B12" sqref="B12"/>
    </sheetView>
  </sheetViews>
  <sheetFormatPr defaultRowHeight="14.4"/>
  <cols>
    <col min="1" max="1" width="15.5546875" bestFit="1" customWidth="1"/>
    <col min="2" max="2" width="12.5546875" bestFit="1" customWidth="1"/>
    <col min="3" max="3" width="9.44140625" customWidth="1"/>
    <col min="4" max="4" width="13.5546875" bestFit="1" customWidth="1"/>
    <col min="7" max="7" width="13.5546875" bestFit="1" customWidth="1"/>
    <col min="9" max="9" width="24.33203125" bestFit="1" customWidth="1"/>
  </cols>
  <sheetData>
    <row r="1" spans="1:9">
      <c r="A1" s="1" t="s">
        <v>155</v>
      </c>
      <c r="B1" s="1" t="s">
        <v>1222</v>
      </c>
      <c r="C1" s="1" t="s">
        <v>32</v>
      </c>
      <c r="D1" s="1" t="s">
        <v>1216</v>
      </c>
      <c r="G1" s="1" t="s">
        <v>155</v>
      </c>
      <c r="H1" s="1" t="s">
        <v>32</v>
      </c>
      <c r="I1" s="1" t="s">
        <v>1223</v>
      </c>
    </row>
    <row r="2" spans="1:9">
      <c r="A2" s="3" t="s">
        <v>1217</v>
      </c>
      <c r="B2" s="20">
        <v>44571</v>
      </c>
      <c r="C2" s="20" t="s">
        <v>47</v>
      </c>
      <c r="D2" s="2">
        <v>20</v>
      </c>
      <c r="G2" s="3" t="s">
        <v>1217</v>
      </c>
      <c r="H2" s="2" t="s">
        <v>47</v>
      </c>
      <c r="I2" s="57">
        <f t="array" ref="I2">MEDIAN(IF($A$2:$A$21=$G2,IF($C$2:$C$21=$H2,$D$2:$D$21)))</f>
        <v>22.5</v>
      </c>
    </row>
    <row r="3" spans="1:9">
      <c r="A3" s="3" t="s">
        <v>1218</v>
      </c>
      <c r="B3" s="20">
        <v>44572</v>
      </c>
      <c r="C3" s="20" t="s">
        <v>47</v>
      </c>
      <c r="D3" s="2">
        <v>29</v>
      </c>
      <c r="G3" s="3" t="s">
        <v>1218</v>
      </c>
      <c r="H3" s="2" t="s">
        <v>47</v>
      </c>
      <c r="I3" s="57">
        <f t="array" ref="I3">MEDIAN(IF($A$2:$A$21=$G3,IF($C$2:$C$21=$H3,$D$2:$D$21)))</f>
        <v>29</v>
      </c>
    </row>
    <row r="4" spans="1:9">
      <c r="A4" s="3" t="s">
        <v>1219</v>
      </c>
      <c r="B4" s="20">
        <v>44573</v>
      </c>
      <c r="C4" s="20" t="s">
        <v>47</v>
      </c>
      <c r="D4" s="2">
        <v>25</v>
      </c>
      <c r="G4" s="3" t="s">
        <v>1219</v>
      </c>
      <c r="H4" s="2" t="s">
        <v>47</v>
      </c>
      <c r="I4" s="57">
        <f t="array" ref="I4">MEDIAN(IF($A$2:$A$21=$G4,IF($C$2:$C$21=$H4,$D$2:$D$21)))</f>
        <v>25</v>
      </c>
    </row>
    <row r="5" spans="1:9">
      <c r="A5" s="3" t="s">
        <v>1220</v>
      </c>
      <c r="B5" s="20">
        <v>44574</v>
      </c>
      <c r="C5" s="20" t="s">
        <v>47</v>
      </c>
      <c r="D5" s="2">
        <v>24</v>
      </c>
      <c r="G5" s="3" t="s">
        <v>1220</v>
      </c>
      <c r="H5" s="2" t="s">
        <v>47</v>
      </c>
      <c r="I5" s="57">
        <f t="array" ref="I5">MEDIAN(IF($A$2:$A$21=$G5,IF($C$2:$C$21=$H5,$D$2:$D$21)))</f>
        <v>28</v>
      </c>
    </row>
    <row r="6" spans="1:9">
      <c r="A6" s="3" t="s">
        <v>1221</v>
      </c>
      <c r="B6" s="20">
        <v>44575</v>
      </c>
      <c r="C6" s="20" t="s">
        <v>47</v>
      </c>
      <c r="D6" s="2">
        <v>30</v>
      </c>
      <c r="G6" s="3" t="s">
        <v>1221</v>
      </c>
      <c r="H6" s="2" t="s">
        <v>47</v>
      </c>
      <c r="I6" s="57">
        <f t="array" ref="I6">MEDIAN(IF($A$2:$A$21=$G6,IF($C$2:$C$21=$H6,$D$2:$D$21)))</f>
        <v>29.5</v>
      </c>
    </row>
    <row r="7" spans="1:9">
      <c r="A7" s="3" t="s">
        <v>1218</v>
      </c>
      <c r="B7" s="20">
        <v>44576</v>
      </c>
      <c r="C7" s="20" t="s">
        <v>47</v>
      </c>
      <c r="D7" s="2">
        <v>31</v>
      </c>
      <c r="G7" s="3" t="s">
        <v>1217</v>
      </c>
      <c r="H7" s="2" t="s">
        <v>48</v>
      </c>
      <c r="I7" s="57">
        <f t="array" ref="I7">MEDIAN(IF($A$2:$A$21=$G7,IF($C$2:$C$21=$H7,$D$2:$D$21)))</f>
        <v>29</v>
      </c>
    </row>
    <row r="8" spans="1:9">
      <c r="A8" s="3" t="s">
        <v>1219</v>
      </c>
      <c r="B8" s="20">
        <v>44577</v>
      </c>
      <c r="C8" s="20" t="s">
        <v>47</v>
      </c>
      <c r="D8" s="2">
        <v>22</v>
      </c>
      <c r="G8" s="3" t="s">
        <v>1218</v>
      </c>
      <c r="H8" s="2" t="s">
        <v>48</v>
      </c>
      <c r="I8" s="57">
        <f t="array" ref="I8">MEDIAN(IF($A$2:$A$21=$G8,IF($C$2:$C$21=$H8,$D$2:$D$21)))</f>
        <v>22</v>
      </c>
    </row>
    <row r="9" spans="1:9">
      <c r="A9" s="3" t="s">
        <v>1218</v>
      </c>
      <c r="B9" s="20">
        <v>44578</v>
      </c>
      <c r="C9" s="20" t="s">
        <v>47</v>
      </c>
      <c r="D9" s="2">
        <v>26</v>
      </c>
      <c r="G9" s="3" t="s">
        <v>1219</v>
      </c>
      <c r="H9" s="2" t="s">
        <v>48</v>
      </c>
      <c r="I9" s="57">
        <f t="array" ref="I9">MEDIAN(IF($A$2:$A$21=$G9,IF($C$2:$C$21=$H9,$D$2:$D$21)))</f>
        <v>25</v>
      </c>
    </row>
    <row r="10" spans="1:9">
      <c r="A10" s="3" t="s">
        <v>1217</v>
      </c>
      <c r="B10" s="20">
        <v>44579</v>
      </c>
      <c r="C10" s="20" t="s">
        <v>47</v>
      </c>
      <c r="D10" s="2">
        <v>25</v>
      </c>
      <c r="G10" s="3" t="s">
        <v>1220</v>
      </c>
      <c r="H10" s="2" t="s">
        <v>48</v>
      </c>
      <c r="I10" s="57">
        <f t="array" ref="I10">MEDIAN(IF($A$2:$A$21=$G10,IF($C$2:$C$21=$H10,$D$2:$D$21)))</f>
        <v>20.5</v>
      </c>
    </row>
    <row r="11" spans="1:9">
      <c r="A11" s="3" t="s">
        <v>1217</v>
      </c>
      <c r="B11" s="20">
        <v>44611</v>
      </c>
      <c r="C11" s="20" t="s">
        <v>48</v>
      </c>
      <c r="D11" s="2">
        <v>30</v>
      </c>
      <c r="G11" s="3" t="s">
        <v>1221</v>
      </c>
      <c r="H11" s="2" t="s">
        <v>48</v>
      </c>
      <c r="I11" s="57">
        <f t="array" ref="I11">MEDIAN(IF($A$2:$A$21=$G11,IF($C$2:$C$21=$H11,$D$2:$D$21)))</f>
        <v>31</v>
      </c>
    </row>
    <row r="12" spans="1:9">
      <c r="A12" s="3" t="s">
        <v>1219</v>
      </c>
      <c r="B12" s="20">
        <v>44581</v>
      </c>
      <c r="C12" s="20" t="s">
        <v>47</v>
      </c>
      <c r="D12" s="2">
        <v>33</v>
      </c>
    </row>
    <row r="13" spans="1:9">
      <c r="A13" s="3" t="s">
        <v>1220</v>
      </c>
      <c r="B13" s="20">
        <v>44582</v>
      </c>
      <c r="C13" s="20" t="s">
        <v>47</v>
      </c>
      <c r="D13" s="2">
        <v>32</v>
      </c>
    </row>
    <row r="14" spans="1:9">
      <c r="A14" s="3" t="s">
        <v>1221</v>
      </c>
      <c r="B14" s="20">
        <v>44583</v>
      </c>
      <c r="C14" s="20" t="s">
        <v>47</v>
      </c>
      <c r="D14" s="2">
        <v>29</v>
      </c>
    </row>
    <row r="15" spans="1:9">
      <c r="A15" s="3" t="s">
        <v>1218</v>
      </c>
      <c r="B15" s="20">
        <v>44594</v>
      </c>
      <c r="C15" s="20" t="s">
        <v>48</v>
      </c>
      <c r="D15" s="2">
        <v>22</v>
      </c>
    </row>
    <row r="16" spans="1:9">
      <c r="A16" s="3" t="s">
        <v>1219</v>
      </c>
      <c r="B16" s="20">
        <v>44607</v>
      </c>
      <c r="C16" s="20" t="s">
        <v>48</v>
      </c>
      <c r="D16" s="2">
        <v>25</v>
      </c>
    </row>
    <row r="17" spans="1:4">
      <c r="A17" s="3" t="s">
        <v>1217</v>
      </c>
      <c r="B17" s="20">
        <v>44615</v>
      </c>
      <c r="C17" s="20" t="s">
        <v>48</v>
      </c>
      <c r="D17" s="2">
        <v>28</v>
      </c>
    </row>
    <row r="18" spans="1:4">
      <c r="A18" s="3" t="s">
        <v>1220</v>
      </c>
      <c r="B18" s="20">
        <v>44616</v>
      </c>
      <c r="C18" s="20" t="s">
        <v>48</v>
      </c>
      <c r="D18" s="2">
        <v>20</v>
      </c>
    </row>
    <row r="19" spans="1:4">
      <c r="A19" s="3" t="s">
        <v>1220</v>
      </c>
      <c r="B19" s="20">
        <v>44617</v>
      </c>
      <c r="C19" s="20" t="s">
        <v>48</v>
      </c>
      <c r="D19" s="2">
        <v>21</v>
      </c>
    </row>
    <row r="20" spans="1:4">
      <c r="A20" s="3" t="s">
        <v>1221</v>
      </c>
      <c r="B20" s="20">
        <v>44618</v>
      </c>
      <c r="C20" s="20" t="s">
        <v>48</v>
      </c>
      <c r="D20" s="2">
        <v>28</v>
      </c>
    </row>
    <row r="21" spans="1:4">
      <c r="A21" s="3" t="s">
        <v>1221</v>
      </c>
      <c r="B21" s="20">
        <v>44619</v>
      </c>
      <c r="C21" s="20" t="s">
        <v>48</v>
      </c>
      <c r="D21" s="2">
        <v>34</v>
      </c>
    </row>
  </sheetData>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E05D-5E18-4B43-9725-705BC411DBA1}">
  <sheetPr codeName="Sheet123"/>
  <dimension ref="A1:B13"/>
  <sheetViews>
    <sheetView workbookViewId="0"/>
  </sheetViews>
  <sheetFormatPr defaultRowHeight="14.4"/>
  <cols>
    <col min="1" max="1" width="9.6640625" bestFit="1" customWidth="1"/>
  </cols>
  <sheetData>
    <row r="1" spans="1:2">
      <c r="A1" s="1" t="s">
        <v>1225</v>
      </c>
    </row>
    <row r="2" spans="1:2">
      <c r="A2" s="2">
        <v>0</v>
      </c>
    </row>
    <row r="3" spans="1:2">
      <c r="A3" s="2">
        <v>2</v>
      </c>
    </row>
    <row r="4" spans="1:2">
      <c r="A4" s="2">
        <v>3</v>
      </c>
    </row>
    <row r="5" spans="1:2">
      <c r="A5" s="2">
        <v>0</v>
      </c>
    </row>
    <row r="6" spans="1:2">
      <c r="A6" s="2">
        <v>0</v>
      </c>
    </row>
    <row r="7" spans="1:2">
      <c r="A7" s="2">
        <v>6</v>
      </c>
    </row>
    <row r="8" spans="1:2">
      <c r="A8" s="2">
        <v>0</v>
      </c>
    </row>
    <row r="9" spans="1:2">
      <c r="A9" s="2">
        <v>0</v>
      </c>
    </row>
    <row r="10" spans="1:2">
      <c r="A10" s="2">
        <v>0</v>
      </c>
    </row>
    <row r="11" spans="1:2">
      <c r="A11" s="2">
        <v>0</v>
      </c>
    </row>
    <row r="13" spans="1:2">
      <c r="A13" s="1" t="s">
        <v>1224</v>
      </c>
      <c r="B13" s="7">
        <f>MEDIAN(A2:A11)</f>
        <v>0</v>
      </c>
    </row>
  </sheetData>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EE88C-48F0-45DE-A44B-E12EF3195A20}">
  <sheetPr codeName="Sheet124"/>
  <dimension ref="A1:C7"/>
  <sheetViews>
    <sheetView workbookViewId="0">
      <selection activeCell="C12" sqref="C12"/>
    </sheetView>
  </sheetViews>
  <sheetFormatPr defaultRowHeight="14.4"/>
  <cols>
    <col min="1" max="1" width="34.6640625" bestFit="1" customWidth="1"/>
    <col min="2" max="2" width="19.44140625" bestFit="1" customWidth="1"/>
    <col min="3" max="3" width="28.109375" bestFit="1" customWidth="1"/>
  </cols>
  <sheetData>
    <row r="1" spans="1:3">
      <c r="A1" s="1" t="s">
        <v>1138</v>
      </c>
      <c r="B1" s="1" t="s">
        <v>1226</v>
      </c>
      <c r="C1" s="1" t="s">
        <v>1145</v>
      </c>
    </row>
    <row r="2" spans="1:3">
      <c r="A2" s="2" t="s">
        <v>1227</v>
      </c>
      <c r="B2" s="78">
        <f ca="1">NOW()</f>
        <v>45589.629961689818</v>
      </c>
      <c r="C2" s="2" t="s">
        <v>1231</v>
      </c>
    </row>
    <row r="3" spans="1:3">
      <c r="A3" s="77" t="s">
        <v>1228</v>
      </c>
      <c r="B3" s="78">
        <f ca="1">NOW()-7</f>
        <v>45582.629961689818</v>
      </c>
      <c r="C3" s="2" t="s">
        <v>1232</v>
      </c>
    </row>
    <row r="4" spans="1:3">
      <c r="A4" s="2" t="s">
        <v>1229</v>
      </c>
      <c r="B4" s="78">
        <f ca="1">NOW()+0.25</f>
        <v>45589.879961689818</v>
      </c>
      <c r="C4" s="2" t="s">
        <v>1233</v>
      </c>
    </row>
    <row r="5" spans="1:3">
      <c r="A5" s="2" t="s">
        <v>1230</v>
      </c>
      <c r="B5" s="78">
        <f ca="1">NOW()-0.75</f>
        <v>45588.879961689818</v>
      </c>
      <c r="C5" s="2" t="s">
        <v>1234</v>
      </c>
    </row>
    <row r="7" spans="1:3">
      <c r="C7" s="76"/>
    </row>
  </sheetData>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65B0-00DA-4C93-8494-5D6AD870E5A9}">
  <sheetPr codeName="Sheet125"/>
  <dimension ref="A1:B4"/>
  <sheetViews>
    <sheetView workbookViewId="0">
      <selection activeCell="C12" sqref="C12"/>
    </sheetView>
  </sheetViews>
  <sheetFormatPr defaultRowHeight="14.4"/>
  <cols>
    <col min="1" max="1" width="20.109375" bestFit="1" customWidth="1"/>
    <col min="2" max="2" width="60.44140625" customWidth="1"/>
    <col min="4" max="4" width="8.6640625" customWidth="1"/>
  </cols>
  <sheetData>
    <row r="1" spans="1:2">
      <c r="A1" s="1" t="s">
        <v>1235</v>
      </c>
      <c r="B1" s="1" t="s">
        <v>1236</v>
      </c>
    </row>
    <row r="2" spans="1:2">
      <c r="A2" s="78">
        <f ca="1">NOW()</f>
        <v>45589.629961689818</v>
      </c>
      <c r="B2" s="2" t="s">
        <v>1237</v>
      </c>
    </row>
    <row r="3" spans="1:2">
      <c r="A3" s="78">
        <f ca="1">NOW()</f>
        <v>45589.629961689818</v>
      </c>
      <c r="B3" s="2" t="s">
        <v>1238</v>
      </c>
    </row>
    <row r="4" spans="1:2">
      <c r="A4" s="78">
        <v>44774.603472222225</v>
      </c>
      <c r="B4" s="2" t="s">
        <v>1239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7B449-0A1A-42D7-B6BC-79643127BFCF}">
  <sheetPr codeName="Sheet126"/>
  <dimension ref="A1:D5"/>
  <sheetViews>
    <sheetView workbookViewId="0">
      <selection activeCell="C12" sqref="C12"/>
    </sheetView>
  </sheetViews>
  <sheetFormatPr defaultRowHeight="14.4"/>
  <cols>
    <col min="1" max="1" width="20.109375" bestFit="1" customWidth="1"/>
    <col min="2" max="2" width="13.5546875" bestFit="1" customWidth="1"/>
    <col min="4" max="4" width="10.109375" bestFit="1" customWidth="1"/>
  </cols>
  <sheetData>
    <row r="1" spans="1:4">
      <c r="A1" s="1" t="s">
        <v>1235</v>
      </c>
      <c r="B1" s="78">
        <f ca="1">NOW()</f>
        <v>45589.629961689818</v>
      </c>
    </row>
    <row r="2" spans="1:4">
      <c r="A2" s="1" t="s">
        <v>1152</v>
      </c>
      <c r="B2" s="66">
        <f ca="1">TODAY()</f>
        <v>45589</v>
      </c>
    </row>
    <row r="3" spans="1:4">
      <c r="A3" s="1" t="s">
        <v>1240</v>
      </c>
      <c r="B3" s="80">
        <f ca="1">NOW()-TODAY()</f>
        <v>0.62996168981771916</v>
      </c>
      <c r="D3" s="81"/>
    </row>
    <row r="5" spans="1:4" ht="15">
      <c r="A5" s="79"/>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365F-6B91-42DA-B535-122F29734EC1}">
  <sheetPr codeName="Sheet127"/>
  <dimension ref="A1:C6"/>
  <sheetViews>
    <sheetView workbookViewId="0">
      <selection activeCell="C12" sqref="C12"/>
    </sheetView>
  </sheetViews>
  <sheetFormatPr defaultRowHeight="14.4"/>
  <cols>
    <col min="1" max="1" width="24.88671875" bestFit="1" customWidth="1"/>
    <col min="2" max="2" width="20.33203125" bestFit="1" customWidth="1"/>
    <col min="3" max="3" width="22.33203125" bestFit="1" customWidth="1"/>
  </cols>
  <sheetData>
    <row r="1" spans="1:3">
      <c r="A1" s="68" t="s">
        <v>1242</v>
      </c>
      <c r="B1" s="68" t="s">
        <v>1241</v>
      </c>
      <c r="C1" s="1" t="s">
        <v>1243</v>
      </c>
    </row>
    <row r="2" spans="1:3">
      <c r="A2" s="77">
        <v>44722.666666666664</v>
      </c>
      <c r="B2" s="78">
        <f ca="1">NOW()</f>
        <v>45589.629961689818</v>
      </c>
      <c r="C2" s="78" t="str">
        <f ca="1">IF((A2-NOW())&gt;0,"Due","Deadline Missed")</f>
        <v>Deadline Missed</v>
      </c>
    </row>
    <row r="3" spans="1:3">
      <c r="A3" s="77">
        <v>44752.666666666664</v>
      </c>
      <c r="B3" s="78">
        <f ca="1">NOW()</f>
        <v>45589.629961689818</v>
      </c>
      <c r="C3" s="78" t="str">
        <f ca="1">IF((A3-NOW())&gt;0,"Due","Deadline Missed")</f>
        <v>Deadline Missed</v>
      </c>
    </row>
    <row r="4" spans="1:3">
      <c r="A4" s="77">
        <v>44783.666666666664</v>
      </c>
      <c r="B4" s="78">
        <f ca="1">NOW()</f>
        <v>45589.629961689818</v>
      </c>
      <c r="C4" s="78" t="str">
        <f ca="1">IF((A4-NOW())&gt;0,"Due","Deadline Missed")</f>
        <v>Deadline Missed</v>
      </c>
    </row>
    <row r="5" spans="1:3">
      <c r="A5" s="77">
        <v>44814.666666666664</v>
      </c>
      <c r="B5" s="78">
        <f ca="1">NOW()</f>
        <v>45589.629961689818</v>
      </c>
      <c r="C5" s="78" t="str">
        <f ca="1">IF((A5-NOW())&gt;0,"Due","Deadline Missed")</f>
        <v>Deadline Missed</v>
      </c>
    </row>
    <row r="6" spans="1:3">
      <c r="A6" s="77">
        <v>44844.666666666664</v>
      </c>
      <c r="B6" s="78">
        <f ca="1">NOW()</f>
        <v>45589.629961689818</v>
      </c>
      <c r="C6" s="78" t="str">
        <f ca="1">IF((A6-NOW())&gt;0,"Due","Deadline Missed")</f>
        <v>Deadline Missed</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41A6-8766-4B64-83F4-8432AD99421C}">
  <sheetPr codeName="Sheet128"/>
  <dimension ref="A1:C7"/>
  <sheetViews>
    <sheetView workbookViewId="0">
      <selection activeCell="C12" sqref="C12"/>
    </sheetView>
  </sheetViews>
  <sheetFormatPr defaultRowHeight="14.4"/>
  <cols>
    <col min="1" max="1" width="26.44140625" bestFit="1" customWidth="1"/>
    <col min="2" max="2" width="11.6640625" bestFit="1" customWidth="1"/>
    <col min="3" max="3" width="18.44140625" bestFit="1" customWidth="1"/>
  </cols>
  <sheetData>
    <row r="1" spans="1:3">
      <c r="A1" s="1" t="s">
        <v>1245</v>
      </c>
      <c r="B1" s="1" t="s">
        <v>1152</v>
      </c>
      <c r="C1" s="1" t="s">
        <v>1244</v>
      </c>
    </row>
    <row r="2" spans="1:3">
      <c r="A2" s="20">
        <v>44788</v>
      </c>
      <c r="B2" s="20">
        <v>44774</v>
      </c>
      <c r="C2" s="7">
        <f t="shared" ref="C2:C7" ca="1" si="0">_xlfn.DAYS(A2,NOW())</f>
        <v>-801</v>
      </c>
    </row>
    <row r="3" spans="1:3">
      <c r="A3" s="20">
        <v>44803</v>
      </c>
      <c r="B3" s="20">
        <v>44774</v>
      </c>
      <c r="C3" s="7">
        <f t="shared" ca="1" si="0"/>
        <v>-786</v>
      </c>
    </row>
    <row r="4" spans="1:3">
      <c r="A4" s="20">
        <v>44819</v>
      </c>
      <c r="B4" s="20">
        <v>44774</v>
      </c>
      <c r="C4" s="7">
        <f t="shared" ca="1" si="0"/>
        <v>-770</v>
      </c>
    </row>
    <row r="5" spans="1:3">
      <c r="A5" s="20">
        <v>44834</v>
      </c>
      <c r="B5" s="20">
        <v>44774</v>
      </c>
      <c r="C5" s="7">
        <f t="shared" ca="1" si="0"/>
        <v>-755</v>
      </c>
    </row>
    <row r="6" spans="1:3">
      <c r="A6" s="20">
        <v>44849</v>
      </c>
      <c r="B6" s="20">
        <v>44774</v>
      </c>
      <c r="C6" s="7">
        <f t="shared" ca="1" si="0"/>
        <v>-740</v>
      </c>
    </row>
    <row r="7" spans="1:3">
      <c r="A7" s="20">
        <v>44864</v>
      </c>
      <c r="B7" s="20">
        <v>44774</v>
      </c>
      <c r="C7" s="7">
        <f t="shared" ca="1" si="0"/>
        <v>-725</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FE0F-23BC-4954-8CD6-20B4698724E9}">
  <sheetPr codeName="Sheet129"/>
  <dimension ref="A1:B3"/>
  <sheetViews>
    <sheetView workbookViewId="0"/>
  </sheetViews>
  <sheetFormatPr defaultRowHeight="14.4"/>
  <cols>
    <col min="1" max="1" width="19.88671875" bestFit="1" customWidth="1"/>
    <col min="2" max="2" width="54.88671875" bestFit="1" customWidth="1"/>
  </cols>
  <sheetData>
    <row r="1" spans="1:2">
      <c r="A1" s="1" t="s">
        <v>1235</v>
      </c>
      <c r="B1" s="1" t="s">
        <v>1247</v>
      </c>
    </row>
    <row r="2" spans="1:2">
      <c r="A2" s="78">
        <f ca="1">NOW()</f>
        <v>45589.629961689818</v>
      </c>
      <c r="B2" s="2" t="s">
        <v>1246</v>
      </c>
    </row>
    <row r="3" spans="1:2">
      <c r="A3" s="78">
        <v>44775.390972222223</v>
      </c>
      <c r="B3" s="2" t="s">
        <v>1248</v>
      </c>
    </row>
  </sheetData>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E31A-5F40-48BD-AE51-3642C806B9D5}">
  <sheetPr codeName="Sheet130"/>
  <dimension ref="A1:B7"/>
  <sheetViews>
    <sheetView workbookViewId="0">
      <selection activeCell="E15" sqref="E15"/>
    </sheetView>
  </sheetViews>
  <sheetFormatPr defaultRowHeight="14.4"/>
  <cols>
    <col min="1" max="1" width="30.44140625" bestFit="1" customWidth="1"/>
    <col min="2" max="2" width="11.109375" bestFit="1" customWidth="1"/>
  </cols>
  <sheetData>
    <row r="1" spans="1:2">
      <c r="A1" s="369" t="s">
        <v>1256</v>
      </c>
      <c r="B1" s="369"/>
    </row>
    <row r="2" spans="1:2">
      <c r="A2" s="1" t="s">
        <v>1250</v>
      </c>
      <c r="B2" s="1" t="s">
        <v>1249</v>
      </c>
    </row>
    <row r="3" spans="1:2">
      <c r="A3" s="2" t="s">
        <v>1254</v>
      </c>
      <c r="B3" s="82">
        <v>0.06</v>
      </c>
    </row>
    <row r="4" spans="1:2">
      <c r="A4" s="2" t="s">
        <v>1251</v>
      </c>
      <c r="B4" s="2">
        <v>5</v>
      </c>
    </row>
    <row r="5" spans="1:2">
      <c r="A5" s="2" t="s">
        <v>1253</v>
      </c>
      <c r="B5" s="83">
        <v>80000</v>
      </c>
    </row>
    <row r="7" spans="1:2">
      <c r="A7" s="1" t="s">
        <v>1255</v>
      </c>
      <c r="B7" s="84">
        <f>PMT(B3,B4,B5)</f>
        <v>-18991.712034495169</v>
      </c>
    </row>
  </sheetData>
  <mergeCells count="1">
    <mergeCell ref="A1:B1"/>
  </mergeCell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17CC-5C9D-4487-89FE-7E1D8AF59F16}">
  <sheetPr codeName="Sheet131"/>
  <dimension ref="A1:E9"/>
  <sheetViews>
    <sheetView workbookViewId="0">
      <selection activeCell="E15" sqref="E15"/>
    </sheetView>
  </sheetViews>
  <sheetFormatPr defaultRowHeight="14.4"/>
  <cols>
    <col min="1" max="1" width="30.5546875" bestFit="1" customWidth="1"/>
    <col min="2" max="2" width="22" bestFit="1" customWidth="1"/>
    <col min="3" max="3" width="8.88671875" bestFit="1" customWidth="1"/>
    <col min="5" max="5" width="18.33203125" bestFit="1" customWidth="1"/>
  </cols>
  <sheetData>
    <row r="1" spans="1:5">
      <c r="A1" s="1" t="s">
        <v>1268</v>
      </c>
      <c r="B1" s="1" t="s">
        <v>1257</v>
      </c>
      <c r="C1" s="1" t="s">
        <v>1249</v>
      </c>
      <c r="E1" s="9" t="s">
        <v>1267</v>
      </c>
    </row>
    <row r="2" spans="1:5">
      <c r="A2" s="2" t="s">
        <v>1252</v>
      </c>
      <c r="B2" s="7" t="s">
        <v>1262</v>
      </c>
      <c r="C2" s="82">
        <v>0.1</v>
      </c>
      <c r="E2" s="84">
        <f>PMT(C2,C3,C4,C5,C6)</f>
        <v>-41746.796429575894</v>
      </c>
    </row>
    <row r="3" spans="1:5">
      <c r="A3" s="2" t="s">
        <v>1258</v>
      </c>
      <c r="B3" s="7" t="s">
        <v>1263</v>
      </c>
      <c r="C3" s="2">
        <v>6</v>
      </c>
    </row>
    <row r="4" spans="1:5">
      <c r="A4" s="2" t="s">
        <v>1259</v>
      </c>
      <c r="B4" s="7" t="s">
        <v>1264</v>
      </c>
      <c r="C4" s="83">
        <v>200000</v>
      </c>
    </row>
    <row r="5" spans="1:5">
      <c r="A5" s="2" t="s">
        <v>1260</v>
      </c>
      <c r="B5" s="7" t="s">
        <v>1265</v>
      </c>
      <c r="C5" s="83">
        <v>0</v>
      </c>
    </row>
    <row r="6" spans="1:5">
      <c r="A6" s="2" t="s">
        <v>1261</v>
      </c>
      <c r="B6" s="7" t="s">
        <v>1266</v>
      </c>
      <c r="C6" s="2">
        <v>1</v>
      </c>
    </row>
    <row r="9" spans="1:5">
      <c r="A9" s="85"/>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4AF-8A71-41D2-86D7-4F56BD072CE3}">
  <sheetPr codeName="Sheet132"/>
  <dimension ref="A1:C6"/>
  <sheetViews>
    <sheetView workbookViewId="0">
      <selection activeCell="E15" sqref="E15"/>
    </sheetView>
  </sheetViews>
  <sheetFormatPr defaultRowHeight="14.4"/>
  <cols>
    <col min="1" max="1" width="30.44140625" bestFit="1" customWidth="1"/>
    <col min="2" max="2" width="17.5546875" customWidth="1"/>
    <col min="3" max="3" width="11.109375" bestFit="1" customWidth="1"/>
  </cols>
  <sheetData>
    <row r="1" spans="1:3">
      <c r="A1" s="1" t="s">
        <v>1270</v>
      </c>
      <c r="B1" s="1" t="s">
        <v>1257</v>
      </c>
      <c r="C1" s="1" t="s">
        <v>1249</v>
      </c>
    </row>
    <row r="2" spans="1:3">
      <c r="A2" s="2" t="s">
        <v>1254</v>
      </c>
      <c r="B2" s="7" t="s">
        <v>1262</v>
      </c>
      <c r="C2" s="82">
        <v>0.05</v>
      </c>
    </row>
    <row r="3" spans="1:3">
      <c r="A3" s="2" t="s">
        <v>1251</v>
      </c>
      <c r="B3" s="7" t="s">
        <v>1263</v>
      </c>
      <c r="C3" s="2">
        <v>2</v>
      </c>
    </row>
    <row r="4" spans="1:3">
      <c r="A4" s="2" t="s">
        <v>1253</v>
      </c>
      <c r="B4" s="7" t="s">
        <v>1264</v>
      </c>
      <c r="C4" s="83">
        <v>50000</v>
      </c>
    </row>
    <row r="6" spans="1:3">
      <c r="A6" s="374" t="s">
        <v>1269</v>
      </c>
      <c r="B6" s="375"/>
      <c r="C6" s="84">
        <f>PMT(C2,C3,-C4)</f>
        <v>26890.243902439019</v>
      </c>
    </row>
  </sheetData>
  <mergeCells count="1">
    <mergeCell ref="A6:B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73AC5-24E6-4623-92A7-767ABA2DE68F}">
  <sheetPr codeName="Sheet133"/>
  <dimension ref="A1:I11"/>
  <sheetViews>
    <sheetView workbookViewId="0">
      <selection activeCell="E15" sqref="E15"/>
    </sheetView>
  </sheetViews>
  <sheetFormatPr defaultRowHeight="14.4"/>
  <cols>
    <col min="1" max="1" width="22.109375" bestFit="1" customWidth="1"/>
    <col min="2" max="2" width="15.5546875" bestFit="1" customWidth="1"/>
    <col min="3" max="3" width="10.109375" bestFit="1" customWidth="1"/>
    <col min="7" max="7" width="22.109375" bestFit="1" customWidth="1"/>
    <col min="8" max="8" width="20.88671875" bestFit="1" customWidth="1"/>
    <col min="9" max="9" width="8.33203125" bestFit="1" customWidth="1"/>
  </cols>
  <sheetData>
    <row r="1" spans="1:9">
      <c r="A1" s="1" t="s">
        <v>1275</v>
      </c>
      <c r="B1" s="1" t="s">
        <v>1257</v>
      </c>
      <c r="C1" s="1" t="s">
        <v>1249</v>
      </c>
    </row>
    <row r="2" spans="1:9">
      <c r="A2" s="2" t="s">
        <v>1254</v>
      </c>
      <c r="B2" s="7" t="s">
        <v>1262</v>
      </c>
      <c r="C2" s="82">
        <v>7.0000000000000007E-2</v>
      </c>
    </row>
    <row r="3" spans="1:9">
      <c r="A3" s="2" t="s">
        <v>1251</v>
      </c>
      <c r="B3" s="7" t="s">
        <v>1263</v>
      </c>
      <c r="C3" s="2">
        <v>4</v>
      </c>
      <c r="G3" s="1" t="s">
        <v>1277</v>
      </c>
      <c r="H3" s="1" t="s">
        <v>1262</v>
      </c>
      <c r="I3" s="1" t="s">
        <v>1263</v>
      </c>
    </row>
    <row r="4" spans="1:9">
      <c r="A4" s="2" t="s">
        <v>1253</v>
      </c>
      <c r="B4" s="7" t="s">
        <v>1264</v>
      </c>
      <c r="C4" s="83">
        <v>10000</v>
      </c>
      <c r="G4" s="2" t="s">
        <v>1280</v>
      </c>
      <c r="H4" s="2" t="s">
        <v>1287</v>
      </c>
      <c r="I4" s="2" t="s">
        <v>1292</v>
      </c>
    </row>
    <row r="5" spans="1:9">
      <c r="G5" s="2" t="s">
        <v>1279</v>
      </c>
      <c r="H5" s="2" t="s">
        <v>1288</v>
      </c>
      <c r="I5" s="2" t="s">
        <v>1293</v>
      </c>
    </row>
    <row r="6" spans="1:9">
      <c r="G6" s="2" t="s">
        <v>1281</v>
      </c>
      <c r="H6" s="2" t="s">
        <v>1289</v>
      </c>
      <c r="I6" s="2" t="s">
        <v>1294</v>
      </c>
    </row>
    <row r="7" spans="1:9">
      <c r="A7" s="369" t="s">
        <v>1271</v>
      </c>
      <c r="B7" s="369"/>
      <c r="C7" s="84">
        <f>PMT(C2/52,C3*52,C4)</f>
        <v>-55.153527020513195</v>
      </c>
      <c r="G7" s="2" t="s">
        <v>1282</v>
      </c>
      <c r="H7" s="2" t="s">
        <v>1290</v>
      </c>
      <c r="I7" s="2" t="s">
        <v>1295</v>
      </c>
    </row>
    <row r="8" spans="1:9">
      <c r="A8" s="369" t="s">
        <v>1272</v>
      </c>
      <c r="B8" s="369"/>
      <c r="C8" s="84">
        <f>PMT(C2/12,C3*12,C4)</f>
        <v>-239.46244662442905</v>
      </c>
      <c r="G8" s="2" t="s">
        <v>1283</v>
      </c>
      <c r="H8" s="2" t="s">
        <v>1291</v>
      </c>
      <c r="I8" s="2" t="s">
        <v>1296</v>
      </c>
    </row>
    <row r="9" spans="1:9">
      <c r="A9" s="369" t="s">
        <v>1273</v>
      </c>
      <c r="B9" s="369"/>
      <c r="C9" s="84">
        <f>PMT(C2/4,C3*4,C4)</f>
        <v>-721.99576434370317</v>
      </c>
    </row>
    <row r="10" spans="1:9">
      <c r="A10" s="369" t="s">
        <v>1274</v>
      </c>
      <c r="B10" s="369"/>
      <c r="C10" s="84">
        <f>PMT(C2/2,C3*2,C4)</f>
        <v>-1454.7664654857379</v>
      </c>
    </row>
    <row r="11" spans="1:9">
      <c r="A11" s="369" t="s">
        <v>1269</v>
      </c>
      <c r="B11" s="369"/>
      <c r="C11" s="84">
        <f>PMT(C2,C3,C4)</f>
        <v>-2952.2811666726352</v>
      </c>
    </row>
  </sheetData>
  <mergeCells count="5">
    <mergeCell ref="A7:B7"/>
    <mergeCell ref="A8:B8"/>
    <mergeCell ref="A9:B9"/>
    <mergeCell ref="A10:B10"/>
    <mergeCell ref="A11:B11"/>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052E-28A2-4CA5-84C1-8D84C60D422C}">
  <sheetPr codeName="Sheet134"/>
  <dimension ref="A1:G18"/>
  <sheetViews>
    <sheetView workbookViewId="0">
      <selection activeCell="E15" sqref="E15"/>
    </sheetView>
  </sheetViews>
  <sheetFormatPr defaultRowHeight="14.4"/>
  <cols>
    <col min="1" max="1" width="25.5546875" bestFit="1" customWidth="1"/>
    <col min="2" max="2" width="17.44140625" bestFit="1" customWidth="1"/>
    <col min="3" max="4" width="9.33203125" customWidth="1"/>
    <col min="5" max="5" width="17.44140625" bestFit="1" customWidth="1"/>
    <col min="6" max="6" width="10.88671875" customWidth="1"/>
  </cols>
  <sheetData>
    <row r="1" spans="1:7">
      <c r="A1" s="379" t="s">
        <v>1275</v>
      </c>
      <c r="B1" s="380"/>
      <c r="C1" s="380"/>
      <c r="D1" s="380"/>
      <c r="E1" s="380"/>
      <c r="F1" s="381"/>
    </row>
    <row r="2" spans="1:7">
      <c r="A2" s="86" t="s">
        <v>1253</v>
      </c>
      <c r="B2" s="87">
        <v>5000</v>
      </c>
      <c r="F2" s="89"/>
    </row>
    <row r="3" spans="1:7">
      <c r="A3" s="7" t="s">
        <v>1254</v>
      </c>
      <c r="B3" s="88">
        <v>0.03</v>
      </c>
      <c r="F3" s="89"/>
    </row>
    <row r="4" spans="1:7">
      <c r="A4" s="7" t="s">
        <v>1276</v>
      </c>
      <c r="B4" s="7">
        <v>5</v>
      </c>
      <c r="F4" s="89"/>
    </row>
    <row r="5" spans="1:7">
      <c r="A5" s="7" t="s">
        <v>1277</v>
      </c>
      <c r="B5" s="2" t="s">
        <v>1279</v>
      </c>
      <c r="C5" s="7">
        <f>IFERROR(VLOOKUP(B5,E10:F14,2,0),"")</f>
        <v>12</v>
      </c>
      <c r="D5" s="14"/>
      <c r="F5" s="89"/>
    </row>
    <row r="6" spans="1:7">
      <c r="A6" s="7" t="s">
        <v>1278</v>
      </c>
      <c r="B6" s="2" t="s">
        <v>1285</v>
      </c>
      <c r="C6" s="7">
        <f>IFERROR(VLOOKUP(B6,E17:F18,2,0),"")</f>
        <v>1</v>
      </c>
      <c r="D6" s="14"/>
      <c r="F6" s="89"/>
    </row>
    <row r="7" spans="1:7">
      <c r="A7" s="90"/>
      <c r="B7" s="14"/>
      <c r="C7" s="6"/>
      <c r="D7" s="14"/>
      <c r="E7" s="371" t="s">
        <v>757</v>
      </c>
      <c r="F7" s="373"/>
    </row>
    <row r="8" spans="1:7">
      <c r="A8" s="90"/>
      <c r="B8" s="14"/>
      <c r="C8" s="6"/>
      <c r="D8" s="6"/>
      <c r="E8" s="90"/>
      <c r="F8" s="91"/>
      <c r="G8" s="6"/>
    </row>
    <row r="9" spans="1:7">
      <c r="A9" s="371" t="s">
        <v>1286</v>
      </c>
      <c r="B9" s="373"/>
      <c r="C9" s="6"/>
      <c r="D9" s="14"/>
      <c r="E9" s="376" t="s">
        <v>1277</v>
      </c>
      <c r="F9" s="377"/>
    </row>
    <row r="10" spans="1:7">
      <c r="A10" s="7" t="str">
        <f>B5&amp;" Payment In $"</f>
        <v>Monthly Payment In $</v>
      </c>
      <c r="B10" s="67">
        <f>IFERROR(-PMT(B3/C5, B4*C5, B2, 0, C6), "")</f>
        <v>89.619404808294959</v>
      </c>
      <c r="E10" s="2" t="s">
        <v>1280</v>
      </c>
      <c r="F10" s="2">
        <v>52</v>
      </c>
    </row>
    <row r="11" spans="1:7">
      <c r="A11" s="92"/>
      <c r="E11" s="2" t="s">
        <v>1279</v>
      </c>
      <c r="F11" s="2">
        <v>12</v>
      </c>
    </row>
    <row r="12" spans="1:7">
      <c r="A12" s="92"/>
      <c r="C12" s="14"/>
      <c r="D12" s="14"/>
      <c r="E12" s="2" t="s">
        <v>1281</v>
      </c>
      <c r="F12" s="2">
        <v>4</v>
      </c>
    </row>
    <row r="13" spans="1:7">
      <c r="A13" s="92"/>
      <c r="B13" s="85"/>
      <c r="C13" s="14"/>
      <c r="D13" s="14"/>
      <c r="E13" s="2" t="s">
        <v>1282</v>
      </c>
      <c r="F13" s="2">
        <v>2</v>
      </c>
    </row>
    <row r="14" spans="1:7">
      <c r="A14" s="92"/>
      <c r="C14" s="14"/>
      <c r="D14" s="14"/>
      <c r="E14" s="2" t="s">
        <v>1283</v>
      </c>
      <c r="F14" s="2">
        <v>1</v>
      </c>
    </row>
    <row r="15" spans="1:7">
      <c r="A15" s="92"/>
      <c r="E15" s="92"/>
      <c r="F15" s="89"/>
    </row>
    <row r="16" spans="1:7">
      <c r="A16" s="92"/>
      <c r="E16" s="378" t="s">
        <v>1278</v>
      </c>
      <c r="F16" s="378"/>
    </row>
    <row r="17" spans="1:6">
      <c r="A17" s="92"/>
      <c r="E17" s="2" t="s">
        <v>1284</v>
      </c>
      <c r="F17" s="2">
        <v>0</v>
      </c>
    </row>
    <row r="18" spans="1:6">
      <c r="A18" s="93"/>
      <c r="B18" s="94"/>
      <c r="C18" s="94"/>
      <c r="D18" s="94"/>
      <c r="E18" s="2" t="s">
        <v>1285</v>
      </c>
      <c r="F18" s="2">
        <v>1</v>
      </c>
    </row>
  </sheetData>
  <mergeCells count="5">
    <mergeCell ref="E9:F9"/>
    <mergeCell ref="E16:F16"/>
    <mergeCell ref="A1:F1"/>
    <mergeCell ref="E7:F7"/>
    <mergeCell ref="A9:B9"/>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7FE4-D329-49C9-B96F-6351CA020239}">
  <sheetPr codeName="Sheet135"/>
  <dimension ref="A1:B7"/>
  <sheetViews>
    <sheetView workbookViewId="0">
      <selection activeCell="B2" sqref="B2"/>
    </sheetView>
  </sheetViews>
  <sheetFormatPr defaultRowHeight="14.4"/>
  <cols>
    <col min="1" max="1" width="30.44140625" bestFit="1" customWidth="1"/>
    <col min="2" max="2" width="11.109375" bestFit="1" customWidth="1"/>
  </cols>
  <sheetData>
    <row r="1" spans="1:2">
      <c r="A1" s="369" t="s">
        <v>1256</v>
      </c>
      <c r="B1" s="369"/>
    </row>
    <row r="2" spans="1:2">
      <c r="A2" s="1" t="s">
        <v>1250</v>
      </c>
      <c r="B2" s="1" t="s">
        <v>1249</v>
      </c>
    </row>
    <row r="3" spans="1:2">
      <c r="A3" s="2" t="s">
        <v>1297</v>
      </c>
      <c r="B3" s="82">
        <v>0.04</v>
      </c>
    </row>
    <row r="4" spans="1:2">
      <c r="A4" s="2" t="s">
        <v>1298</v>
      </c>
      <c r="B4" s="2">
        <v>6</v>
      </c>
    </row>
    <row r="5" spans="1:2">
      <c r="A5" s="2" t="s">
        <v>1299</v>
      </c>
      <c r="B5" s="83">
        <v>7000</v>
      </c>
    </row>
    <row r="7" spans="1:2">
      <c r="A7" s="1" t="s">
        <v>1255</v>
      </c>
      <c r="B7" s="84">
        <f>PMT(B3,B4,-B5)</f>
        <v>1335.3333175556784</v>
      </c>
    </row>
  </sheetData>
  <mergeCells count="1">
    <mergeCell ref="A1:B1"/>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662E-49B1-4CD9-BD33-D5CF82090396}">
  <sheetPr codeName="Sheet136"/>
  <dimension ref="A1:C4"/>
  <sheetViews>
    <sheetView workbookViewId="0">
      <selection activeCell="E9" sqref="E9"/>
    </sheetView>
  </sheetViews>
  <sheetFormatPr defaultRowHeight="14.4"/>
  <cols>
    <col min="1" max="1" width="47.44140625" bestFit="1" customWidth="1"/>
    <col min="2" max="2" width="13" bestFit="1" customWidth="1"/>
    <col min="3" max="3" width="29.5546875" bestFit="1" customWidth="1"/>
  </cols>
  <sheetData>
    <row r="1" spans="1:3">
      <c r="A1" s="1" t="s">
        <v>1138</v>
      </c>
      <c r="B1" s="1" t="s">
        <v>1305</v>
      </c>
      <c r="C1" s="1" t="s">
        <v>605</v>
      </c>
    </row>
    <row r="2" spans="1:3">
      <c r="A2" s="2" t="s">
        <v>1306</v>
      </c>
      <c r="B2" s="7">
        <f>ROW()</f>
        <v>2</v>
      </c>
      <c r="C2" s="65" t="s">
        <v>1302</v>
      </c>
    </row>
    <row r="3" spans="1:3">
      <c r="A3" s="2" t="s">
        <v>1300</v>
      </c>
      <c r="B3" s="7">
        <f>ROW(B50)</f>
        <v>50</v>
      </c>
      <c r="C3" s="65" t="s">
        <v>1303</v>
      </c>
    </row>
    <row r="4" spans="1:3">
      <c r="A4" s="2" t="s">
        <v>1301</v>
      </c>
      <c r="B4" s="7">
        <f>ROW(D4:D10)</f>
        <v>4</v>
      </c>
      <c r="C4" s="65" t="s">
        <v>1304</v>
      </c>
    </row>
  </sheetData>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93AF-8414-4B16-AA3F-D3D60547594D}">
  <sheetPr codeName="Sheet137"/>
  <dimension ref="A1:F6"/>
  <sheetViews>
    <sheetView workbookViewId="0">
      <selection activeCell="E9" sqref="E9"/>
    </sheetView>
  </sheetViews>
  <sheetFormatPr defaultRowHeight="14.4"/>
  <cols>
    <col min="1" max="1" width="7.109375" bestFit="1" customWidth="1"/>
    <col min="2" max="2" width="8.109375" bestFit="1" customWidth="1"/>
    <col min="3" max="3" width="10.109375" bestFit="1" customWidth="1"/>
    <col min="5" max="5" width="93.109375" bestFit="1" customWidth="1"/>
    <col min="6" max="6" width="11.6640625" bestFit="1" customWidth="1"/>
  </cols>
  <sheetData>
    <row r="1" spans="1:6">
      <c r="A1" s="1" t="s">
        <v>130</v>
      </c>
      <c r="B1" s="1" t="s">
        <v>357</v>
      </c>
      <c r="C1" s="1" t="s">
        <v>706</v>
      </c>
      <c r="E1" s="1" t="s">
        <v>1307</v>
      </c>
      <c r="F1" s="1" t="s">
        <v>1305</v>
      </c>
    </row>
    <row r="2" spans="1:6">
      <c r="A2" s="2" t="s">
        <v>340</v>
      </c>
      <c r="B2" s="2">
        <v>200</v>
      </c>
      <c r="C2" s="20">
        <v>44573</v>
      </c>
      <c r="E2" s="2" t="s">
        <v>1308</v>
      </c>
      <c r="F2" s="7">
        <f>ROW()</f>
        <v>2</v>
      </c>
    </row>
    <row r="3" spans="1:6">
      <c r="A3" s="2" t="s">
        <v>341</v>
      </c>
      <c r="B3" s="2">
        <v>250</v>
      </c>
      <c r="C3" s="20">
        <v>44581</v>
      </c>
      <c r="E3" s="2" t="s">
        <v>1309</v>
      </c>
      <c r="F3" s="7">
        <f>ROW(A4)</f>
        <v>4</v>
      </c>
    </row>
    <row r="4" spans="1:6">
      <c r="A4" s="2" t="s">
        <v>342</v>
      </c>
      <c r="B4" s="2">
        <v>210</v>
      </c>
      <c r="C4" s="20">
        <v>44584</v>
      </c>
      <c r="E4" s="2" t="s">
        <v>1310</v>
      </c>
      <c r="F4" s="7">
        <f>ROW($A$4)</f>
        <v>4</v>
      </c>
    </row>
    <row r="5" spans="1:6">
      <c r="A5" s="2" t="s">
        <v>343</v>
      </c>
      <c r="B5" s="2">
        <v>150</v>
      </c>
      <c r="C5" s="20">
        <v>44591</v>
      </c>
      <c r="E5" s="2" t="s">
        <v>1311</v>
      </c>
      <c r="F5" s="7">
        <f>ROW(A5:C6)</f>
        <v>5</v>
      </c>
    </row>
    <row r="6" spans="1:6">
      <c r="A6" s="2" t="s">
        <v>346</v>
      </c>
      <c r="B6" s="2">
        <v>100</v>
      </c>
      <c r="C6" s="20">
        <v>44592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A745-F6CF-4F81-A8B8-0527496D35D0}">
  <sheetPr codeName="Sheet138"/>
  <dimension ref="A1:C21"/>
  <sheetViews>
    <sheetView zoomScale="90" zoomScaleNormal="90" workbookViewId="0">
      <selection activeCell="E9" sqref="E9"/>
    </sheetView>
  </sheetViews>
  <sheetFormatPr defaultRowHeight="14.4"/>
  <cols>
    <col min="1" max="1" width="14.5546875" bestFit="1" customWidth="1"/>
    <col min="2" max="2" width="11.88671875" bestFit="1" customWidth="1"/>
    <col min="3" max="3" width="15.44140625" bestFit="1" customWidth="1"/>
    <col min="8" max="8" width="14.5546875" bestFit="1" customWidth="1"/>
    <col min="9" max="9" width="11.88671875" bestFit="1" customWidth="1"/>
    <col min="10" max="10" width="15.44140625" bestFit="1" customWidth="1"/>
  </cols>
  <sheetData>
    <row r="1" spans="1:3">
      <c r="A1" s="1" t="s">
        <v>0</v>
      </c>
      <c r="B1" s="1" t="s">
        <v>97</v>
      </c>
      <c r="C1" s="1" t="s">
        <v>1312</v>
      </c>
    </row>
    <row r="2" spans="1:3">
      <c r="A2" s="3" t="s">
        <v>1313</v>
      </c>
      <c r="B2" s="2" t="s">
        <v>394</v>
      </c>
      <c r="C2" s="2">
        <v>100</v>
      </c>
    </row>
    <row r="3" spans="1:3">
      <c r="A3" s="3" t="s">
        <v>1314</v>
      </c>
      <c r="B3" s="2" t="s">
        <v>394</v>
      </c>
      <c r="C3" s="2">
        <v>99</v>
      </c>
    </row>
    <row r="4" spans="1:3">
      <c r="A4" s="3" t="s">
        <v>1315</v>
      </c>
      <c r="B4" s="2" t="s">
        <v>394</v>
      </c>
      <c r="C4" s="2">
        <v>99</v>
      </c>
    </row>
    <row r="5" spans="1:3">
      <c r="A5" s="3" t="s">
        <v>1316</v>
      </c>
      <c r="B5" s="2" t="s">
        <v>394</v>
      </c>
      <c r="C5" s="2">
        <v>98</v>
      </c>
    </row>
    <row r="6" spans="1:3">
      <c r="A6" s="3" t="s">
        <v>1317</v>
      </c>
      <c r="B6" s="2" t="s">
        <v>394</v>
      </c>
      <c r="C6" s="2">
        <v>97</v>
      </c>
    </row>
    <row r="7" spans="1:3">
      <c r="A7" s="3" t="s">
        <v>1313</v>
      </c>
      <c r="B7" s="2" t="s">
        <v>395</v>
      </c>
      <c r="C7" s="2">
        <v>99</v>
      </c>
    </row>
    <row r="8" spans="1:3">
      <c r="A8" s="3" t="s">
        <v>1314</v>
      </c>
      <c r="B8" s="2" t="s">
        <v>395</v>
      </c>
      <c r="C8" s="2">
        <v>95</v>
      </c>
    </row>
    <row r="9" spans="1:3">
      <c r="A9" s="3" t="s">
        <v>1315</v>
      </c>
      <c r="B9" s="2" t="s">
        <v>395</v>
      </c>
      <c r="C9" s="2">
        <v>94</v>
      </c>
    </row>
    <row r="10" spans="1:3">
      <c r="A10" s="3" t="s">
        <v>1316</v>
      </c>
      <c r="B10" s="2" t="s">
        <v>395</v>
      </c>
      <c r="C10" s="2">
        <v>92</v>
      </c>
    </row>
    <row r="11" spans="1:3">
      <c r="A11" s="3" t="s">
        <v>1317</v>
      </c>
      <c r="B11" s="2" t="s">
        <v>395</v>
      </c>
      <c r="C11" s="2">
        <v>90</v>
      </c>
    </row>
    <row r="12" spans="1:3">
      <c r="A12" s="3" t="s">
        <v>1313</v>
      </c>
      <c r="B12" s="2" t="s">
        <v>396</v>
      </c>
      <c r="C12" s="2">
        <v>100</v>
      </c>
    </row>
    <row r="13" spans="1:3">
      <c r="A13" s="3" t="s">
        <v>1314</v>
      </c>
      <c r="B13" s="2" t="s">
        <v>396</v>
      </c>
      <c r="C13" s="2">
        <v>98</v>
      </c>
    </row>
    <row r="14" spans="1:3">
      <c r="A14" s="3" t="s">
        <v>1315</v>
      </c>
      <c r="B14" s="2" t="s">
        <v>396</v>
      </c>
      <c r="C14" s="2">
        <v>95</v>
      </c>
    </row>
    <row r="15" spans="1:3">
      <c r="A15" s="3" t="s">
        <v>1316</v>
      </c>
      <c r="B15" s="2" t="s">
        <v>396</v>
      </c>
      <c r="C15" s="2">
        <v>91</v>
      </c>
    </row>
    <row r="16" spans="1:3">
      <c r="A16" s="3" t="s">
        <v>1317</v>
      </c>
      <c r="B16" s="2" t="s">
        <v>396</v>
      </c>
      <c r="C16" s="2">
        <v>89</v>
      </c>
    </row>
    <row r="17" spans="1:3">
      <c r="A17" s="3" t="s">
        <v>1313</v>
      </c>
      <c r="B17" s="2" t="s">
        <v>397</v>
      </c>
      <c r="C17" s="2">
        <v>97</v>
      </c>
    </row>
    <row r="18" spans="1:3">
      <c r="A18" s="3" t="s">
        <v>1314</v>
      </c>
      <c r="B18" s="2" t="s">
        <v>397</v>
      </c>
      <c r="C18" s="2">
        <v>94</v>
      </c>
    </row>
    <row r="19" spans="1:3">
      <c r="A19" s="3" t="s">
        <v>1315</v>
      </c>
      <c r="B19" s="2" t="s">
        <v>397</v>
      </c>
      <c r="C19" s="2">
        <v>90</v>
      </c>
    </row>
    <row r="20" spans="1:3">
      <c r="A20" s="3" t="s">
        <v>1316</v>
      </c>
      <c r="B20" s="2" t="s">
        <v>397</v>
      </c>
      <c r="C20" s="2">
        <v>90</v>
      </c>
    </row>
    <row r="21" spans="1:3">
      <c r="A21" s="3" t="s">
        <v>1317</v>
      </c>
      <c r="B21" s="2" t="s">
        <v>397</v>
      </c>
      <c r="C21" s="2">
        <v>88</v>
      </c>
    </row>
  </sheetData>
  <conditionalFormatting sqref="A2:C21">
    <cfRule type="expression" dxfId="7" priority="1">
      <formula>MOD(INT((ROW()-2)/5)+1,2)</formula>
    </cfRule>
  </conditionalFormatting>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619B-68F5-4528-ACCD-38318039173F}">
  <sheetPr codeName="Sheet139"/>
  <dimension ref="A1:K7"/>
  <sheetViews>
    <sheetView zoomScaleNormal="100" workbookViewId="0">
      <selection activeCell="E9" sqref="E9"/>
    </sheetView>
  </sheetViews>
  <sheetFormatPr defaultRowHeight="14.4"/>
  <cols>
    <col min="1" max="1" width="16.88671875" bestFit="1" customWidth="1"/>
    <col min="2" max="2" width="11.88671875" bestFit="1" customWidth="1"/>
    <col min="3" max="3" width="9" bestFit="1" customWidth="1"/>
    <col min="4" max="4" width="9.5546875" bestFit="1" customWidth="1"/>
    <col min="5" max="5" width="10.88671875" bestFit="1" customWidth="1"/>
    <col min="6" max="6" width="8.5546875" bestFit="1" customWidth="1"/>
    <col min="7" max="7" width="11" bestFit="1" customWidth="1"/>
    <col min="8" max="8" width="8.88671875" bestFit="1" customWidth="1"/>
    <col min="9" max="9" width="9.6640625" bestFit="1" customWidth="1"/>
    <col min="10" max="10" width="10.6640625" bestFit="1" customWidth="1"/>
    <col min="11" max="11" width="8.5546875" bestFit="1" customWidth="1"/>
  </cols>
  <sheetData>
    <row r="1" spans="1:11">
      <c r="A1" s="1" t="s">
        <v>1318</v>
      </c>
      <c r="B1" s="2" t="s">
        <v>1319</v>
      </c>
      <c r="C1" s="2" t="s">
        <v>1321</v>
      </c>
      <c r="D1" s="2" t="s">
        <v>1323</v>
      </c>
      <c r="E1" s="2" t="s">
        <v>347</v>
      </c>
      <c r="F1" s="2" t="s">
        <v>1326</v>
      </c>
      <c r="G1" s="2" t="s">
        <v>1328</v>
      </c>
      <c r="H1" s="2" t="s">
        <v>1330</v>
      </c>
      <c r="I1" s="2" t="s">
        <v>351</v>
      </c>
      <c r="J1" s="2" t="s">
        <v>349</v>
      </c>
      <c r="K1" s="2" t="s">
        <v>1334</v>
      </c>
    </row>
    <row r="2" spans="1:11">
      <c r="A2" s="1" t="s">
        <v>1336</v>
      </c>
      <c r="B2" s="2" t="s">
        <v>1320</v>
      </c>
      <c r="C2" s="2" t="s">
        <v>1322</v>
      </c>
      <c r="D2" s="2" t="s">
        <v>1324</v>
      </c>
      <c r="E2" s="2" t="s">
        <v>1325</v>
      </c>
      <c r="F2" s="2" t="s">
        <v>1327</v>
      </c>
      <c r="G2" s="2" t="s">
        <v>1329</v>
      </c>
      <c r="H2" s="2" t="s">
        <v>1331</v>
      </c>
      <c r="I2" s="2" t="s">
        <v>1333</v>
      </c>
      <c r="J2" s="2" t="s">
        <v>1332</v>
      </c>
      <c r="K2" s="2" t="s">
        <v>1335</v>
      </c>
    </row>
    <row r="3" spans="1:11">
      <c r="A3" s="1" t="s">
        <v>1373</v>
      </c>
      <c r="B3" s="95">
        <v>5039877</v>
      </c>
      <c r="C3" s="95">
        <v>7276316</v>
      </c>
      <c r="D3" s="95">
        <v>3025891</v>
      </c>
      <c r="E3" s="95">
        <v>39237836</v>
      </c>
      <c r="F3" s="95">
        <v>5812069</v>
      </c>
      <c r="G3" s="95">
        <v>3605597</v>
      </c>
      <c r="H3" s="95">
        <v>1003384</v>
      </c>
      <c r="I3" s="95">
        <v>10799566</v>
      </c>
      <c r="J3" s="95">
        <v>21781128</v>
      </c>
      <c r="K3" s="95">
        <v>1441553</v>
      </c>
    </row>
    <row r="6" spans="1:11">
      <c r="A6" s="1" t="s">
        <v>352</v>
      </c>
      <c r="B6" s="2" t="s">
        <v>1328</v>
      </c>
    </row>
    <row r="7" spans="1:11">
      <c r="A7" s="1" t="s">
        <v>1373</v>
      </c>
      <c r="B7" s="47">
        <f>HLOOKUP(B6,B1:K3,ROW(G3),0)</f>
        <v>3605597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B8A8-6257-40E0-9A77-427E47D5F075}">
  <sheetPr codeName="Sheet140"/>
  <dimension ref="A1:F21"/>
  <sheetViews>
    <sheetView zoomScale="90" zoomScaleNormal="90" workbookViewId="0">
      <selection activeCell="E9" sqref="E9"/>
    </sheetView>
  </sheetViews>
  <sheetFormatPr defaultRowHeight="14.4"/>
  <cols>
    <col min="1" max="1" width="16.109375" bestFit="1" customWidth="1"/>
    <col min="2" max="2" width="18.109375" bestFit="1" customWidth="1"/>
    <col min="3" max="3" width="22.109375" bestFit="1" customWidth="1"/>
    <col min="5" max="5" width="14.44140625" bestFit="1" customWidth="1"/>
    <col min="6" max="6" width="28.109375" bestFit="1" customWidth="1"/>
  </cols>
  <sheetData>
    <row r="1" spans="1:6">
      <c r="A1" s="1" t="s">
        <v>155</v>
      </c>
      <c r="B1" s="1" t="s">
        <v>369</v>
      </c>
      <c r="C1" s="1" t="s">
        <v>1337</v>
      </c>
      <c r="E1" s="1" t="s">
        <v>240</v>
      </c>
      <c r="F1" s="1" t="s">
        <v>1367</v>
      </c>
    </row>
    <row r="2" spans="1:6" ht="15.6">
      <c r="A2" s="3" t="s">
        <v>1338</v>
      </c>
      <c r="B2" s="2" t="s">
        <v>381</v>
      </c>
      <c r="C2" s="2" t="s">
        <v>1363</v>
      </c>
      <c r="E2" s="3" t="s">
        <v>1345</v>
      </c>
      <c r="F2" s="96">
        <f>ROW(INDEX(A2:C21,MATCH(E2,A2:A21,0),1))</f>
        <v>9</v>
      </c>
    </row>
    <row r="3" spans="1:6">
      <c r="A3" s="3" t="s">
        <v>1339</v>
      </c>
      <c r="B3" s="2" t="s">
        <v>1358</v>
      </c>
      <c r="C3" s="2" t="s">
        <v>1365</v>
      </c>
    </row>
    <row r="4" spans="1:6">
      <c r="A4" s="3" t="s">
        <v>1340</v>
      </c>
      <c r="B4" s="2" t="s">
        <v>1359</v>
      </c>
      <c r="C4" s="2" t="s">
        <v>1363</v>
      </c>
    </row>
    <row r="5" spans="1:6">
      <c r="A5" s="3" t="s">
        <v>1341</v>
      </c>
      <c r="B5" s="2" t="s">
        <v>1360</v>
      </c>
      <c r="C5" s="2" t="s">
        <v>1366</v>
      </c>
    </row>
    <row r="6" spans="1:6">
      <c r="A6" s="3" t="s">
        <v>1342</v>
      </c>
      <c r="B6" s="2" t="s">
        <v>1358</v>
      </c>
      <c r="C6" s="2" t="s">
        <v>1364</v>
      </c>
    </row>
    <row r="7" spans="1:6">
      <c r="A7" s="3" t="s">
        <v>1343</v>
      </c>
      <c r="B7" s="2" t="s">
        <v>1361</v>
      </c>
      <c r="C7" s="2" t="s">
        <v>1363</v>
      </c>
    </row>
    <row r="8" spans="1:6">
      <c r="A8" s="3" t="s">
        <v>1344</v>
      </c>
      <c r="B8" s="2" t="s">
        <v>709</v>
      </c>
      <c r="C8" s="2" t="s">
        <v>1365</v>
      </c>
    </row>
    <row r="9" spans="1:6">
      <c r="A9" s="3" t="s">
        <v>1345</v>
      </c>
      <c r="B9" s="2" t="s">
        <v>1362</v>
      </c>
      <c r="C9" s="2" t="s">
        <v>1363</v>
      </c>
    </row>
    <row r="10" spans="1:6">
      <c r="A10" s="3" t="s">
        <v>1346</v>
      </c>
      <c r="B10" s="2" t="s">
        <v>381</v>
      </c>
      <c r="C10" s="2" t="s">
        <v>1364</v>
      </c>
    </row>
    <row r="11" spans="1:6">
      <c r="A11" s="3" t="s">
        <v>1347</v>
      </c>
      <c r="B11" s="2" t="s">
        <v>381</v>
      </c>
      <c r="C11" s="2" t="s">
        <v>1363</v>
      </c>
    </row>
    <row r="12" spans="1:6">
      <c r="A12" s="3" t="s">
        <v>1348</v>
      </c>
      <c r="B12" s="2" t="s">
        <v>381</v>
      </c>
      <c r="C12" s="2" t="s">
        <v>1365</v>
      </c>
    </row>
    <row r="13" spans="1:6">
      <c r="A13" s="3" t="s">
        <v>1349</v>
      </c>
      <c r="B13" s="2" t="s">
        <v>709</v>
      </c>
      <c r="C13" s="2" t="s">
        <v>1365</v>
      </c>
    </row>
    <row r="14" spans="1:6">
      <c r="A14" s="3" t="s">
        <v>1350</v>
      </c>
      <c r="B14" s="2" t="s">
        <v>1362</v>
      </c>
      <c r="C14" s="2" t="s">
        <v>1363</v>
      </c>
    </row>
    <row r="15" spans="1:6">
      <c r="A15" s="3" t="s">
        <v>1351</v>
      </c>
      <c r="B15" s="2" t="s">
        <v>709</v>
      </c>
      <c r="C15" s="2" t="s">
        <v>1363</v>
      </c>
    </row>
    <row r="16" spans="1:6">
      <c r="A16" s="3" t="s">
        <v>1352</v>
      </c>
      <c r="B16" s="2" t="s">
        <v>709</v>
      </c>
      <c r="C16" s="2" t="s">
        <v>1363</v>
      </c>
    </row>
    <row r="17" spans="1:3">
      <c r="A17" s="3" t="s">
        <v>1353</v>
      </c>
      <c r="B17" s="2" t="s">
        <v>1360</v>
      </c>
      <c r="C17" s="2" t="s">
        <v>1363</v>
      </c>
    </row>
    <row r="18" spans="1:3">
      <c r="A18" s="3" t="s">
        <v>1354</v>
      </c>
      <c r="B18" s="2" t="s">
        <v>1362</v>
      </c>
      <c r="C18" s="2" t="s">
        <v>1363</v>
      </c>
    </row>
    <row r="19" spans="1:3">
      <c r="A19" s="3" t="s">
        <v>1355</v>
      </c>
      <c r="B19" s="2" t="s">
        <v>1362</v>
      </c>
      <c r="C19" s="2" t="s">
        <v>1365</v>
      </c>
    </row>
    <row r="20" spans="1:3">
      <c r="A20" s="3" t="s">
        <v>1356</v>
      </c>
      <c r="B20" s="2" t="s">
        <v>1361</v>
      </c>
      <c r="C20" s="2" t="s">
        <v>1363</v>
      </c>
    </row>
    <row r="21" spans="1:3">
      <c r="A21" s="3" t="s">
        <v>1357</v>
      </c>
      <c r="B21" s="2" t="s">
        <v>1361</v>
      </c>
      <c r="C21" s="2" t="s">
        <v>1363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8229-C41F-4C96-87CF-498EDC3AF4CD}">
  <sheetPr codeName="Sheet141"/>
  <dimension ref="A1:C6"/>
  <sheetViews>
    <sheetView workbookViewId="0"/>
  </sheetViews>
  <sheetFormatPr defaultRowHeight="14.4"/>
  <cols>
    <col min="1" max="1" width="26.5546875" bestFit="1" customWidth="1"/>
    <col min="2" max="2" width="8.44140625" bestFit="1" customWidth="1"/>
    <col min="3" max="3" width="11.6640625" bestFit="1" customWidth="1"/>
  </cols>
  <sheetData>
    <row r="1" spans="1:3">
      <c r="A1" s="1" t="s">
        <v>201</v>
      </c>
      <c r="B1" s="1" t="s">
        <v>136</v>
      </c>
      <c r="C1" s="1" t="s">
        <v>1305</v>
      </c>
    </row>
    <row r="2" spans="1:3">
      <c r="A2" s="56" t="s">
        <v>1368</v>
      </c>
      <c r="B2" s="97">
        <v>1199</v>
      </c>
      <c r="C2" s="7">
        <v>2</v>
      </c>
    </row>
    <row r="3" spans="1:3">
      <c r="A3" s="56" t="s">
        <v>1369</v>
      </c>
      <c r="B3" s="97">
        <v>1049</v>
      </c>
      <c r="C3" s="7">
        <v>3</v>
      </c>
    </row>
    <row r="4" spans="1:3">
      <c r="A4" s="56" t="s">
        <v>1370</v>
      </c>
      <c r="B4" s="97">
        <v>300</v>
      </c>
      <c r="C4" s="7">
        <v>4</v>
      </c>
    </row>
    <row r="5" spans="1:3">
      <c r="A5" s="56" t="s">
        <v>1371</v>
      </c>
      <c r="B5" s="97">
        <v>1799</v>
      </c>
      <c r="C5" s="7">
        <v>5</v>
      </c>
    </row>
    <row r="6" spans="1:3">
      <c r="A6" s="56" t="s">
        <v>1372</v>
      </c>
      <c r="B6" s="97">
        <v>2199</v>
      </c>
      <c r="C6" s="7">
        <v>2</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785-DED3-474F-833D-BC29509559B0}">
  <sheetPr codeName="Sheet142"/>
  <dimension ref="A1:F9"/>
  <sheetViews>
    <sheetView workbookViewId="0">
      <selection activeCell="D13" sqref="D13"/>
    </sheetView>
  </sheetViews>
  <sheetFormatPr defaultRowHeight="14.4"/>
  <cols>
    <col min="1" max="1" width="11.5546875" bestFit="1" customWidth="1"/>
    <col min="2" max="2" width="15" bestFit="1" customWidth="1"/>
    <col min="4" max="4" width="18.5546875" bestFit="1" customWidth="1"/>
    <col min="5" max="5" width="19.109375" bestFit="1" customWidth="1"/>
    <col min="6" max="6" width="39.88671875" bestFit="1" customWidth="1"/>
  </cols>
  <sheetData>
    <row r="1" spans="1:6">
      <c r="A1" s="1" t="s">
        <v>97</v>
      </c>
      <c r="B1" s="1" t="s">
        <v>1312</v>
      </c>
      <c r="D1" s="1" t="s">
        <v>1374</v>
      </c>
      <c r="E1" s="1" t="s">
        <v>1384</v>
      </c>
      <c r="F1" s="1" t="s">
        <v>1378</v>
      </c>
    </row>
    <row r="2" spans="1:6">
      <c r="A2" s="2" t="s">
        <v>394</v>
      </c>
      <c r="B2" s="2">
        <v>99</v>
      </c>
      <c r="D2" s="2" t="s">
        <v>1376</v>
      </c>
      <c r="E2" s="7">
        <f>_xlfn.AGGREGATE(9,4,B2:B9)</f>
        <v>758</v>
      </c>
      <c r="F2" s="2" t="s">
        <v>1379</v>
      </c>
    </row>
    <row r="3" spans="1:6">
      <c r="A3" s="2" t="s">
        <v>395</v>
      </c>
      <c r="B3" s="2">
        <v>98</v>
      </c>
      <c r="D3" s="2" t="s">
        <v>1375</v>
      </c>
      <c r="E3" s="7">
        <f>_xlfn.AGGREGATE(1,4,B2:B9)</f>
        <v>94.75</v>
      </c>
      <c r="F3" s="2" t="s">
        <v>1380</v>
      </c>
    </row>
    <row r="4" spans="1:6">
      <c r="A4" s="2" t="s">
        <v>396</v>
      </c>
      <c r="B4" s="2">
        <v>100</v>
      </c>
      <c r="D4" s="2" t="s">
        <v>1377</v>
      </c>
      <c r="E4" s="7">
        <f>_xlfn.AGGREGATE(4,4,B2:B9)</f>
        <v>100</v>
      </c>
      <c r="F4" s="2" t="s">
        <v>1381</v>
      </c>
    </row>
    <row r="5" spans="1:6">
      <c r="A5" s="2" t="s">
        <v>397</v>
      </c>
      <c r="B5" s="2">
        <v>95</v>
      </c>
      <c r="D5" s="2" t="s">
        <v>1382</v>
      </c>
      <c r="E5" s="7">
        <f>_xlfn.AGGREGATE(14,4,B2:B9,2)</f>
        <v>99</v>
      </c>
      <c r="F5" s="2" t="s">
        <v>1383</v>
      </c>
    </row>
    <row r="6" spans="1:6">
      <c r="A6" s="2" t="s">
        <v>101</v>
      </c>
      <c r="B6" s="2">
        <v>90</v>
      </c>
    </row>
    <row r="7" spans="1:6">
      <c r="A7" s="2" t="s">
        <v>98</v>
      </c>
      <c r="B7" s="2">
        <v>94</v>
      </c>
    </row>
    <row r="8" spans="1:6">
      <c r="A8" s="2" t="s">
        <v>99</v>
      </c>
      <c r="B8" s="2">
        <v>97</v>
      </c>
    </row>
    <row r="9" spans="1:6">
      <c r="A9" s="2" t="s">
        <v>100</v>
      </c>
      <c r="B9" s="2">
        <v>85</v>
      </c>
    </row>
  </sheetData>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DE5B-6FE5-4BD0-9849-01E16BBE50DB}">
  <sheetPr codeName="Sheet143"/>
  <dimension ref="B2:J21"/>
  <sheetViews>
    <sheetView zoomScale="90" zoomScaleNormal="90" workbookViewId="0">
      <selection activeCell="D13" sqref="D13"/>
    </sheetView>
  </sheetViews>
  <sheetFormatPr defaultColWidth="8.6640625" defaultRowHeight="14.4"/>
  <cols>
    <col min="2" max="2" width="13" bestFit="1" customWidth="1"/>
    <col min="3" max="3" width="14.44140625" bestFit="1" customWidth="1"/>
    <col min="6" max="6" width="12.6640625" bestFit="1" customWidth="1"/>
    <col min="7" max="7" width="69.109375" bestFit="1" customWidth="1"/>
    <col min="9" max="9" width="14.5546875" bestFit="1" customWidth="1"/>
    <col min="10" max="10" width="26.5546875" bestFit="1" customWidth="1"/>
  </cols>
  <sheetData>
    <row r="2" spans="2:10">
      <c r="B2" s="98" t="s">
        <v>1392</v>
      </c>
      <c r="C2" s="98" t="s">
        <v>1385</v>
      </c>
      <c r="F2" s="98" t="s">
        <v>1420</v>
      </c>
      <c r="G2" s="98" t="s">
        <v>1413</v>
      </c>
      <c r="I2" s="98" t="s">
        <v>1385</v>
      </c>
      <c r="J2" s="98" t="s">
        <v>1415</v>
      </c>
    </row>
    <row r="3" spans="2:10" ht="15" customHeight="1">
      <c r="B3" s="7">
        <v>1</v>
      </c>
      <c r="C3" s="2" t="s">
        <v>1386</v>
      </c>
      <c r="F3" s="7" t="s">
        <v>1414</v>
      </c>
      <c r="G3" s="2" t="s">
        <v>1405</v>
      </c>
      <c r="I3" s="7" t="s">
        <v>1399</v>
      </c>
      <c r="J3" s="2" t="s">
        <v>1416</v>
      </c>
    </row>
    <row r="4" spans="2:10" ht="15" customHeight="1">
      <c r="B4" s="7">
        <v>2</v>
      </c>
      <c r="C4" s="2" t="s">
        <v>1387</v>
      </c>
      <c r="F4" s="7">
        <v>1</v>
      </c>
      <c r="G4" s="2" t="s">
        <v>1406</v>
      </c>
      <c r="I4" s="7" t="s">
        <v>1400</v>
      </c>
      <c r="J4" s="2" t="s">
        <v>1417</v>
      </c>
    </row>
    <row r="5" spans="2:10" ht="15" customHeight="1">
      <c r="B5" s="7">
        <v>3</v>
      </c>
      <c r="C5" s="2" t="s">
        <v>1388</v>
      </c>
      <c r="F5" s="7">
        <v>2</v>
      </c>
      <c r="G5" s="2" t="s">
        <v>1407</v>
      </c>
      <c r="I5" s="7" t="s">
        <v>1401</v>
      </c>
      <c r="J5" s="2" t="s">
        <v>1418</v>
      </c>
    </row>
    <row r="6" spans="2:10" ht="16.2">
      <c r="B6" s="7">
        <v>4</v>
      </c>
      <c r="C6" s="2" t="s">
        <v>1389</v>
      </c>
      <c r="F6" s="7">
        <v>3</v>
      </c>
      <c r="G6" s="2" t="s">
        <v>1408</v>
      </c>
      <c r="I6" s="7" t="s">
        <v>1403</v>
      </c>
      <c r="J6" s="2" t="s">
        <v>1418</v>
      </c>
    </row>
    <row r="7" spans="2:10" ht="16.2">
      <c r="B7" s="7">
        <v>5</v>
      </c>
      <c r="C7" s="2" t="s">
        <v>1390</v>
      </c>
      <c r="F7" s="7">
        <v>4</v>
      </c>
      <c r="G7" s="2" t="s">
        <v>1409</v>
      </c>
      <c r="I7" s="7" t="s">
        <v>1402</v>
      </c>
      <c r="J7" s="2" t="s">
        <v>1419</v>
      </c>
    </row>
    <row r="8" spans="2:10" ht="16.2">
      <c r="B8" s="7">
        <v>6</v>
      </c>
      <c r="C8" s="2" t="s">
        <v>1391</v>
      </c>
      <c r="F8" s="7">
        <v>5</v>
      </c>
      <c r="G8" s="2" t="s">
        <v>1410</v>
      </c>
      <c r="I8" s="7" t="s">
        <v>1404</v>
      </c>
      <c r="J8" s="2" t="s">
        <v>1419</v>
      </c>
    </row>
    <row r="9" spans="2:10">
      <c r="B9" s="7">
        <v>7</v>
      </c>
      <c r="C9" s="2" t="s">
        <v>1393</v>
      </c>
      <c r="F9" s="7">
        <v>6</v>
      </c>
      <c r="G9" s="2" t="s">
        <v>1411</v>
      </c>
    </row>
    <row r="10" spans="2:10">
      <c r="B10" s="7">
        <v>8</v>
      </c>
      <c r="C10" s="2" t="s">
        <v>1394</v>
      </c>
      <c r="F10" s="7">
        <v>7</v>
      </c>
      <c r="G10" s="2" t="s">
        <v>1412</v>
      </c>
    </row>
    <row r="11" spans="2:10">
      <c r="B11" s="7">
        <v>9</v>
      </c>
      <c r="C11" s="2" t="s">
        <v>1395</v>
      </c>
    </row>
    <row r="12" spans="2:10">
      <c r="B12" s="7">
        <v>10</v>
      </c>
      <c r="C12" s="2" t="s">
        <v>1396</v>
      </c>
    </row>
    <row r="13" spans="2:10">
      <c r="B13" s="7">
        <v>11</v>
      </c>
      <c r="C13" s="2" t="s">
        <v>1397</v>
      </c>
    </row>
    <row r="14" spans="2:10">
      <c r="B14" s="7">
        <v>12</v>
      </c>
      <c r="C14" s="2" t="s">
        <v>1224</v>
      </c>
    </row>
    <row r="15" spans="2:10">
      <c r="B15" s="7">
        <v>13</v>
      </c>
      <c r="C15" s="2" t="s">
        <v>1398</v>
      </c>
    </row>
    <row r="16" spans="2:10">
      <c r="B16" s="7">
        <v>14</v>
      </c>
      <c r="C16" s="2" t="s">
        <v>1399</v>
      </c>
    </row>
    <row r="17" spans="2:3">
      <c r="B17" s="7">
        <v>15</v>
      </c>
      <c r="C17" s="2" t="s">
        <v>1400</v>
      </c>
    </row>
    <row r="18" spans="2:3">
      <c r="B18" s="7">
        <v>16</v>
      </c>
      <c r="C18" s="2" t="s">
        <v>1401</v>
      </c>
    </row>
    <row r="19" spans="2:3">
      <c r="B19" s="7">
        <v>17</v>
      </c>
      <c r="C19" s="2" t="s">
        <v>1402</v>
      </c>
    </row>
    <row r="20" spans="2:3">
      <c r="B20" s="7">
        <v>18</v>
      </c>
      <c r="C20" s="2" t="s">
        <v>1403</v>
      </c>
    </row>
    <row r="21" spans="2:3">
      <c r="B21" s="7">
        <v>19</v>
      </c>
      <c r="C21" s="2" t="s">
        <v>1404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622A-0D99-4188-856A-58276A9E3B50}">
  <sheetPr codeName="Sheet144"/>
  <dimension ref="A1:B14"/>
  <sheetViews>
    <sheetView workbookViewId="0">
      <selection activeCell="D13" sqref="D13"/>
    </sheetView>
  </sheetViews>
  <sheetFormatPr defaultRowHeight="14.4"/>
  <cols>
    <col min="1" max="1" width="17.33203125" bestFit="1" customWidth="1"/>
    <col min="2" max="2" width="36.6640625" bestFit="1" customWidth="1"/>
  </cols>
  <sheetData>
    <row r="1" spans="1:2">
      <c r="A1" s="98" t="s">
        <v>1421</v>
      </c>
      <c r="B1" s="98" t="s">
        <v>1436</v>
      </c>
    </row>
    <row r="2" spans="1:2">
      <c r="A2" s="2" t="s">
        <v>1425</v>
      </c>
      <c r="B2" s="2" t="s">
        <v>1422</v>
      </c>
    </row>
    <row r="3" spans="1:2">
      <c r="A3" s="2" t="s">
        <v>369</v>
      </c>
      <c r="B3" s="2" t="s">
        <v>1423</v>
      </c>
    </row>
    <row r="4" spans="1:2">
      <c r="A4" s="2" t="s">
        <v>1424</v>
      </c>
      <c r="B4" s="2">
        <v>15</v>
      </c>
    </row>
    <row r="5" spans="1:2">
      <c r="A5" s="2" t="s">
        <v>34</v>
      </c>
      <c r="B5" s="83">
        <v>80000</v>
      </c>
    </row>
    <row r="6" spans="1:2">
      <c r="A6" s="2" t="s">
        <v>871</v>
      </c>
      <c r="B6" s="83" t="s">
        <v>1432</v>
      </c>
    </row>
    <row r="7" spans="1:2">
      <c r="A7" s="2" t="s">
        <v>158</v>
      </c>
      <c r="B7" s="2">
        <v>51045</v>
      </c>
    </row>
    <row r="8" spans="1:2">
      <c r="A8" s="2" t="s">
        <v>1433</v>
      </c>
      <c r="B8" s="2">
        <v>523</v>
      </c>
    </row>
    <row r="9" spans="1:2">
      <c r="A9" s="2" t="s">
        <v>1426</v>
      </c>
      <c r="B9" s="2" t="s">
        <v>1427</v>
      </c>
    </row>
    <row r="10" spans="1:2">
      <c r="A10" s="2" t="s">
        <v>1428</v>
      </c>
      <c r="B10" s="2" t="s">
        <v>1429</v>
      </c>
    </row>
    <row r="11" spans="1:2">
      <c r="A11" s="2" t="s">
        <v>1430</v>
      </c>
      <c r="B11" s="2" t="s">
        <v>1431</v>
      </c>
    </row>
    <row r="13" spans="1:2">
      <c r="A13" s="98" t="s">
        <v>1435</v>
      </c>
      <c r="B13" s="7">
        <f>_xlfn.AGGREGATE(3,4,B2:B11)</f>
        <v>10</v>
      </c>
    </row>
    <row r="14" spans="1:2">
      <c r="A14" s="98" t="s">
        <v>1434</v>
      </c>
      <c r="B14" s="7">
        <f>_xlfn.AGGREGATE(2,4,B2:B11)</f>
        <v>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6B47-2A2D-4133-A26F-B9615A70D3FF}">
  <sheetPr codeName="Sheet145"/>
  <dimension ref="A1:B18"/>
  <sheetViews>
    <sheetView workbookViewId="0">
      <selection activeCell="D13" sqref="D13"/>
    </sheetView>
  </sheetViews>
  <sheetFormatPr defaultRowHeight="14.4"/>
  <cols>
    <col min="1" max="1" width="22.6640625" bestFit="1" customWidth="1"/>
    <col min="2" max="2" width="15.6640625" bestFit="1" customWidth="1"/>
  </cols>
  <sheetData>
    <row r="1" spans="1:2">
      <c r="A1" s="98" t="s">
        <v>155</v>
      </c>
      <c r="B1" s="98" t="s">
        <v>34</v>
      </c>
    </row>
    <row r="2" spans="1:2">
      <c r="A2" s="3" t="s">
        <v>1437</v>
      </c>
      <c r="B2" s="95">
        <v>70000</v>
      </c>
    </row>
    <row r="3" spans="1:2">
      <c r="A3" s="3" t="s">
        <v>1438</v>
      </c>
      <c r="B3" s="95">
        <v>72000</v>
      </c>
    </row>
    <row r="4" spans="1:2">
      <c r="A4" s="3" t="s">
        <v>1439</v>
      </c>
      <c r="B4" s="95">
        <v>71450</v>
      </c>
    </row>
    <row r="5" spans="1:2">
      <c r="A5" s="3" t="s">
        <v>1440</v>
      </c>
      <c r="B5" s="95">
        <v>75890</v>
      </c>
    </row>
    <row r="6" spans="1:2">
      <c r="A6" s="3" t="s">
        <v>1441</v>
      </c>
      <c r="B6" s="95">
        <v>76000</v>
      </c>
    </row>
    <row r="7" spans="1:2">
      <c r="A7" s="3" t="s">
        <v>1442</v>
      </c>
      <c r="B7" s="95">
        <v>76250</v>
      </c>
    </row>
    <row r="8" spans="1:2">
      <c r="A8" s="3" t="s">
        <v>1443</v>
      </c>
      <c r="B8" s="95">
        <v>77500</v>
      </c>
    </row>
    <row r="9" spans="1:2">
      <c r="A9" s="3" t="s">
        <v>1444</v>
      </c>
      <c r="B9" s="95">
        <v>72680</v>
      </c>
    </row>
    <row r="10" spans="1:2">
      <c r="A10" s="3" t="s">
        <v>1445</v>
      </c>
      <c r="B10" s="95">
        <v>70420</v>
      </c>
    </row>
    <row r="11" spans="1:2">
      <c r="A11" s="3" t="s">
        <v>1446</v>
      </c>
      <c r="B11" s="95">
        <v>78900</v>
      </c>
    </row>
    <row r="12" spans="1:2">
      <c r="A12" s="3" t="s">
        <v>1447</v>
      </c>
      <c r="B12" s="95">
        <v>80510</v>
      </c>
    </row>
    <row r="13" spans="1:2">
      <c r="A13" s="3" t="s">
        <v>1448</v>
      </c>
      <c r="B13" s="95">
        <v>81000</v>
      </c>
    </row>
    <row r="14" spans="1:2">
      <c r="A14" s="3" t="s">
        <v>1449</v>
      </c>
      <c r="B14" s="95">
        <v>70100</v>
      </c>
    </row>
    <row r="15" spans="1:2">
      <c r="A15" s="3" t="s">
        <v>1450</v>
      </c>
      <c r="B15" s="95">
        <v>74000</v>
      </c>
    </row>
    <row r="16" spans="1:2">
      <c r="A16" s="3" t="s">
        <v>1451</v>
      </c>
      <c r="B16" s="95">
        <v>75800</v>
      </c>
    </row>
    <row r="18" spans="1:2">
      <c r="A18" s="98" t="s">
        <v>1452</v>
      </c>
      <c r="B18" s="7">
        <f>_xlfn.AGGREGATE(12,4,B2,B3,B4,B5,B6,B7,B8,B9,B10,B11,B12,B13,B14,B15,B16)</f>
        <v>75800</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D603-5C5E-4AF5-B876-D755B5BDA03F}">
  <sheetPr codeName="Sheet146"/>
  <dimension ref="A1:B12"/>
  <sheetViews>
    <sheetView workbookViewId="0">
      <selection activeCell="D13" sqref="D13"/>
    </sheetView>
  </sheetViews>
  <sheetFormatPr defaultRowHeight="14.4"/>
  <cols>
    <col min="2" max="2" width="12.33203125" bestFit="1" customWidth="1"/>
  </cols>
  <sheetData>
    <row r="1" spans="1:2">
      <c r="B1" s="98" t="s">
        <v>1453</v>
      </c>
    </row>
    <row r="2" spans="1:2">
      <c r="B2" s="2">
        <v>1</v>
      </c>
    </row>
    <row r="3" spans="1:2">
      <c r="B3" s="2">
        <v>2</v>
      </c>
    </row>
    <row r="4" spans="1:2">
      <c r="B4" s="2">
        <v>3</v>
      </c>
    </row>
    <row r="5" spans="1:2">
      <c r="B5" s="2" t="e">
        <v>#N/A</v>
      </c>
    </row>
    <row r="6" spans="1:2">
      <c r="B6" s="2">
        <v>7</v>
      </c>
    </row>
    <row r="7" spans="1:2" hidden="1">
      <c r="B7" s="2">
        <v>11</v>
      </c>
    </row>
    <row r="8" spans="1:2">
      <c r="B8" s="2">
        <v>13</v>
      </c>
    </row>
    <row r="9" spans="1:2">
      <c r="B9" s="2">
        <v>17</v>
      </c>
    </row>
    <row r="10" spans="1:2">
      <c r="B10" s="2">
        <v>19</v>
      </c>
    </row>
    <row r="11" spans="1:2">
      <c r="B11" s="2">
        <v>23</v>
      </c>
    </row>
    <row r="12" spans="1:2">
      <c r="A12" s="99" t="s">
        <v>201</v>
      </c>
      <c r="B12" s="7">
        <f>_xlfn.AGGREGATE(6,7,B2:B11)</f>
        <v>4056234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6CD1-F6A8-4224-AFD9-4362EF9C144B}">
  <sheetPr codeName="Sheet147"/>
  <dimension ref="A1:N21"/>
  <sheetViews>
    <sheetView zoomScale="90" zoomScaleNormal="90" workbookViewId="0">
      <selection activeCell="D13" sqref="D13"/>
    </sheetView>
  </sheetViews>
  <sheetFormatPr defaultRowHeight="14.4"/>
  <cols>
    <col min="1" max="1" width="11.33203125" bestFit="1" customWidth="1"/>
    <col min="2" max="2" width="11.33203125" customWidth="1"/>
    <col min="3" max="3" width="8.109375" bestFit="1" customWidth="1"/>
    <col min="7" max="7" width="17.33203125" bestFit="1" customWidth="1"/>
  </cols>
  <sheetData>
    <row r="1" spans="1:14">
      <c r="A1" s="98" t="s">
        <v>130</v>
      </c>
      <c r="B1" s="98" t="s">
        <v>706</v>
      </c>
      <c r="C1" s="98" t="s">
        <v>357</v>
      </c>
      <c r="F1" s="98" t="s">
        <v>130</v>
      </c>
      <c r="G1" s="98" t="s">
        <v>1454</v>
      </c>
    </row>
    <row r="2" spans="1:14">
      <c r="A2" s="2" t="s">
        <v>340</v>
      </c>
      <c r="B2" s="20">
        <v>44652</v>
      </c>
      <c r="C2" s="2">
        <v>200</v>
      </c>
      <c r="F2" s="2" t="s">
        <v>342</v>
      </c>
      <c r="G2" s="7">
        <f>_xlfn.AGGREGATE(14,6,C2:C21*(A2:A21=F2),1)</f>
        <v>650</v>
      </c>
    </row>
    <row r="3" spans="1:14">
      <c r="A3" s="2" t="s">
        <v>342</v>
      </c>
      <c r="B3" s="20">
        <v>44652</v>
      </c>
      <c r="C3" s="2">
        <v>250</v>
      </c>
    </row>
    <row r="4" spans="1:14">
      <c r="A4" s="2" t="s">
        <v>341</v>
      </c>
      <c r="B4" s="20">
        <v>44652</v>
      </c>
      <c r="C4" s="2">
        <v>210</v>
      </c>
      <c r="M4" t="s">
        <v>1455</v>
      </c>
    </row>
    <row r="5" spans="1:14">
      <c r="A5" s="2" t="s">
        <v>847</v>
      </c>
      <c r="B5" s="20">
        <v>44652</v>
      </c>
      <c r="C5" s="2">
        <v>100</v>
      </c>
      <c r="N5" s="100"/>
    </row>
    <row r="6" spans="1:14">
      <c r="A6" s="2" t="s">
        <v>345</v>
      </c>
      <c r="B6" s="20">
        <v>44652</v>
      </c>
      <c r="C6" s="2">
        <v>150</v>
      </c>
      <c r="M6" t="e">
        <f t="array" ref="M6">LARGE(C2:C21*(A2:A21="Apple"),1)</f>
        <v>#VALUE!</v>
      </c>
    </row>
    <row r="7" spans="1:14">
      <c r="A7" s="2" t="s">
        <v>340</v>
      </c>
      <c r="B7" s="20">
        <v>44657</v>
      </c>
      <c r="C7" s="2" t="e">
        <v>#VALUE!</v>
      </c>
    </row>
    <row r="8" spans="1:14">
      <c r="A8" s="2" t="s">
        <v>341</v>
      </c>
      <c r="B8" s="20">
        <v>44657</v>
      </c>
      <c r="C8" s="2">
        <v>450</v>
      </c>
    </row>
    <row r="9" spans="1:14">
      <c r="A9" s="2" t="s">
        <v>342</v>
      </c>
      <c r="B9" s="20">
        <v>44657</v>
      </c>
      <c r="C9" s="2">
        <v>400</v>
      </c>
    </row>
    <row r="10" spans="1:14">
      <c r="A10" s="2" t="s">
        <v>341</v>
      </c>
      <c r="B10" s="20">
        <v>44657</v>
      </c>
      <c r="C10" s="2">
        <v>360</v>
      </c>
    </row>
    <row r="11" spans="1:14">
      <c r="A11" s="2" t="s">
        <v>340</v>
      </c>
      <c r="B11" s="20">
        <v>44657</v>
      </c>
      <c r="C11" s="2">
        <v>280</v>
      </c>
    </row>
    <row r="12" spans="1:14">
      <c r="A12" s="2" t="s">
        <v>342</v>
      </c>
      <c r="B12" s="20">
        <v>44662</v>
      </c>
      <c r="C12" s="2">
        <v>500</v>
      </c>
    </row>
    <row r="13" spans="1:14">
      <c r="A13" s="2" t="s">
        <v>345</v>
      </c>
      <c r="B13" s="20">
        <v>44662</v>
      </c>
      <c r="C13" s="2">
        <v>550</v>
      </c>
    </row>
    <row r="14" spans="1:14">
      <c r="A14" s="2" t="s">
        <v>340</v>
      </c>
      <c r="B14" s="20">
        <v>44662</v>
      </c>
      <c r="C14" s="2">
        <v>110</v>
      </c>
    </row>
    <row r="15" spans="1:14">
      <c r="A15" s="2" t="s">
        <v>847</v>
      </c>
      <c r="B15" s="20">
        <v>44662</v>
      </c>
      <c r="C15" s="2">
        <v>190</v>
      </c>
    </row>
    <row r="16" spans="1:14">
      <c r="A16" s="2" t="s">
        <v>345</v>
      </c>
      <c r="B16" s="20">
        <v>44662</v>
      </c>
      <c r="C16" s="2">
        <v>490</v>
      </c>
    </row>
    <row r="17" spans="1:3">
      <c r="A17" s="2" t="s">
        <v>847</v>
      </c>
      <c r="B17" s="20">
        <v>44667</v>
      </c>
      <c r="C17" s="2">
        <v>200</v>
      </c>
    </row>
    <row r="18" spans="1:3">
      <c r="A18" s="2" t="s">
        <v>345</v>
      </c>
      <c r="B18" s="20">
        <v>44667</v>
      </c>
      <c r="C18" s="2">
        <v>350</v>
      </c>
    </row>
    <row r="19" spans="1:3">
      <c r="A19" s="2" t="s">
        <v>342</v>
      </c>
      <c r="B19" s="20">
        <v>44667</v>
      </c>
      <c r="C19" s="2" t="e">
        <v>#VALUE!</v>
      </c>
    </row>
    <row r="20" spans="1:3">
      <c r="A20" s="2" t="s">
        <v>342</v>
      </c>
      <c r="B20" s="20">
        <v>44667</v>
      </c>
      <c r="C20" s="2">
        <v>650</v>
      </c>
    </row>
    <row r="21" spans="1:3">
      <c r="A21" s="2" t="s">
        <v>341</v>
      </c>
      <c r="B21" s="20">
        <v>44667</v>
      </c>
      <c r="C21" s="2">
        <v>470</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EA62-82A1-4D63-A2E1-4292D8E72347}">
  <sheetPr codeName="Sheet148"/>
  <dimension ref="A1:B13"/>
  <sheetViews>
    <sheetView workbookViewId="0"/>
  </sheetViews>
  <sheetFormatPr defaultRowHeight="14.4"/>
  <cols>
    <col min="1" max="1" width="34.109375" bestFit="1" customWidth="1"/>
    <col min="2" max="2" width="12.5546875" bestFit="1" customWidth="1"/>
  </cols>
  <sheetData>
    <row r="1" spans="1:2">
      <c r="A1" s="98" t="s">
        <v>1456</v>
      </c>
      <c r="B1" s="98" t="s">
        <v>1457</v>
      </c>
    </row>
    <row r="2" spans="1:2">
      <c r="A2" s="2" t="s">
        <v>1458</v>
      </c>
      <c r="B2" s="2">
        <v>150</v>
      </c>
    </row>
    <row r="3" spans="1:2">
      <c r="A3" s="2" t="s">
        <v>1463</v>
      </c>
      <c r="B3" s="2">
        <v>200</v>
      </c>
    </row>
    <row r="4" spans="1:2">
      <c r="A4" s="2" t="s">
        <v>1459</v>
      </c>
      <c r="B4" s="2" t="e">
        <v>#N/A</v>
      </c>
    </row>
    <row r="5" spans="1:2">
      <c r="A5" s="2" t="s">
        <v>1464</v>
      </c>
      <c r="B5" s="2">
        <v>250</v>
      </c>
    </row>
    <row r="6" spans="1:2">
      <c r="A6" s="2" t="s">
        <v>1465</v>
      </c>
      <c r="B6" s="2">
        <v>500</v>
      </c>
    </row>
    <row r="7" spans="1:2">
      <c r="A7" s="2" t="s">
        <v>1466</v>
      </c>
      <c r="B7" s="2">
        <v>100</v>
      </c>
    </row>
    <row r="8" spans="1:2">
      <c r="A8" s="2" t="s">
        <v>1460</v>
      </c>
      <c r="B8" s="2">
        <v>190</v>
      </c>
    </row>
    <row r="9" spans="1:2">
      <c r="A9" s="2" t="s">
        <v>1461</v>
      </c>
      <c r="B9" s="2">
        <v>210</v>
      </c>
    </row>
    <row r="10" spans="1:2">
      <c r="A10" s="2" t="s">
        <v>1462</v>
      </c>
      <c r="B10" s="2">
        <v>290</v>
      </c>
    </row>
    <row r="11" spans="1:2">
      <c r="A11" s="2" t="s">
        <v>1467</v>
      </c>
      <c r="B11" s="2" t="e">
        <v>#N/A</v>
      </c>
    </row>
    <row r="13" spans="1:2">
      <c r="A13" s="98" t="s">
        <v>1468</v>
      </c>
      <c r="B13" s="7">
        <f>_xlfn.AGGREGATE(9,6,B2:B11)</f>
        <v>1890</v>
      </c>
    </row>
  </sheetData>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E8BE-8EE6-4DD5-8F8C-F413F7A5527A}">
  <sheetPr codeName="Sheet149"/>
  <dimension ref="A1:D17"/>
  <sheetViews>
    <sheetView workbookViewId="0">
      <selection activeCell="C22" activeCellId="1" sqref="B17 C22"/>
    </sheetView>
  </sheetViews>
  <sheetFormatPr defaultRowHeight="14.4"/>
  <cols>
    <col min="1" max="1" width="12.5546875" bestFit="1" customWidth="1"/>
    <col min="2" max="2" width="45.5546875" bestFit="1" customWidth="1"/>
    <col min="3" max="3" width="22.88671875" bestFit="1" customWidth="1"/>
    <col min="4" max="4" width="30.44140625" bestFit="1" customWidth="1"/>
  </cols>
  <sheetData>
    <row r="1" spans="1:4">
      <c r="A1" s="98" t="s">
        <v>1469</v>
      </c>
      <c r="B1" s="98" t="s">
        <v>1138</v>
      </c>
      <c r="C1" s="98" t="s">
        <v>1496</v>
      </c>
      <c r="D1" s="98" t="s">
        <v>1475</v>
      </c>
    </row>
    <row r="2" spans="1:4">
      <c r="A2" s="2">
        <v>5.46</v>
      </c>
      <c r="B2" s="2" t="s">
        <v>1470</v>
      </c>
      <c r="C2" s="7">
        <f>CEILING(A2,7)</f>
        <v>7</v>
      </c>
      <c r="D2" s="65" t="s">
        <v>1476</v>
      </c>
    </row>
    <row r="3" spans="1:4">
      <c r="A3" s="2">
        <v>10</v>
      </c>
      <c r="B3" s="2" t="s">
        <v>1471</v>
      </c>
      <c r="C3" s="7">
        <f>CEILING(A3,13)</f>
        <v>13</v>
      </c>
      <c r="D3" s="65" t="s">
        <v>1477</v>
      </c>
    </row>
    <row r="4" spans="1:4">
      <c r="A4" s="2">
        <v>4.9400000000000004</v>
      </c>
      <c r="B4" s="2" t="s">
        <v>1472</v>
      </c>
      <c r="C4" s="7">
        <f>CEILING(A4,0.5)</f>
        <v>5</v>
      </c>
      <c r="D4" s="65" t="s">
        <v>1478</v>
      </c>
    </row>
    <row r="5" spans="1:4">
      <c r="A5" s="2">
        <v>9.2200000000000006</v>
      </c>
      <c r="B5" s="2" t="s">
        <v>1473</v>
      </c>
      <c r="C5" s="7">
        <f>CEILING(A5,0.2)</f>
        <v>9.4</v>
      </c>
      <c r="D5" s="65" t="s">
        <v>1479</v>
      </c>
    </row>
    <row r="6" spans="1:4">
      <c r="A6" s="2">
        <v>-6.28</v>
      </c>
      <c r="B6" s="2" t="s">
        <v>1474</v>
      </c>
      <c r="C6" s="7">
        <f>CEILING(A6,3)</f>
        <v>-6</v>
      </c>
      <c r="D6" s="65" t="s">
        <v>1480</v>
      </c>
    </row>
    <row r="17" spans="3:3">
      <c r="C17" s="101"/>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39A3-5147-42EA-8BA2-73BBE3270710}">
  <sheetPr codeName="Sheet150"/>
  <dimension ref="A1:D14"/>
  <sheetViews>
    <sheetView workbookViewId="0">
      <selection activeCell="C22" activeCellId="1" sqref="B17 C22"/>
    </sheetView>
  </sheetViews>
  <sheetFormatPr defaultRowHeight="14.4"/>
  <cols>
    <col min="1" max="1" width="7.88671875" bestFit="1" customWidth="1"/>
    <col min="2" max="2" width="22.109375" bestFit="1" customWidth="1"/>
    <col min="3" max="3" width="10.44140625" bestFit="1" customWidth="1"/>
    <col min="4" max="4" width="39.109375" bestFit="1" customWidth="1"/>
  </cols>
  <sheetData>
    <row r="1" spans="1:4">
      <c r="A1" s="98" t="s">
        <v>130</v>
      </c>
      <c r="B1" s="98" t="s">
        <v>1492</v>
      </c>
      <c r="C1" s="98" t="s">
        <v>1491</v>
      </c>
      <c r="D1" s="98" t="s">
        <v>1493</v>
      </c>
    </row>
    <row r="2" spans="1:4">
      <c r="A2" s="2" t="s">
        <v>1481</v>
      </c>
      <c r="B2" s="2">
        <v>15</v>
      </c>
      <c r="C2" s="2">
        <v>5</v>
      </c>
      <c r="D2" s="7">
        <f>CEILING(B2,C2)</f>
        <v>15</v>
      </c>
    </row>
    <row r="3" spans="1:4">
      <c r="A3" s="2" t="s">
        <v>1482</v>
      </c>
      <c r="B3" s="2">
        <v>11</v>
      </c>
      <c r="C3" s="2">
        <v>3</v>
      </c>
      <c r="D3" s="7">
        <f t="shared" ref="D3:D11" si="0">CEILING(B3,C3)</f>
        <v>12</v>
      </c>
    </row>
    <row r="4" spans="1:4">
      <c r="A4" s="2" t="s">
        <v>1483</v>
      </c>
      <c r="B4" s="2">
        <v>150</v>
      </c>
      <c r="C4" s="2">
        <v>20</v>
      </c>
      <c r="D4" s="7">
        <f t="shared" si="0"/>
        <v>160</v>
      </c>
    </row>
    <row r="5" spans="1:4">
      <c r="A5" s="2" t="s">
        <v>1484</v>
      </c>
      <c r="B5" s="2">
        <v>650</v>
      </c>
      <c r="C5" s="2">
        <v>120</v>
      </c>
      <c r="D5" s="7">
        <f t="shared" si="0"/>
        <v>720</v>
      </c>
    </row>
    <row r="6" spans="1:4">
      <c r="A6" s="2" t="s">
        <v>1485</v>
      </c>
      <c r="B6" s="2">
        <v>20.5</v>
      </c>
      <c r="C6" s="2">
        <v>0.2</v>
      </c>
      <c r="D6" s="7">
        <f t="shared" si="0"/>
        <v>20.6</v>
      </c>
    </row>
    <row r="7" spans="1:4">
      <c r="A7" s="2" t="s">
        <v>1486</v>
      </c>
      <c r="B7" s="2">
        <v>232.89500000000001</v>
      </c>
      <c r="C7" s="2">
        <v>0.05</v>
      </c>
      <c r="D7" s="7">
        <f t="shared" si="0"/>
        <v>232.9</v>
      </c>
    </row>
    <row r="8" spans="1:4">
      <c r="A8" s="2" t="s">
        <v>1487</v>
      </c>
      <c r="B8" s="2">
        <v>-10.55</v>
      </c>
      <c r="C8" s="2">
        <v>-1</v>
      </c>
      <c r="D8" s="7">
        <f t="shared" si="0"/>
        <v>-11</v>
      </c>
    </row>
    <row r="9" spans="1:4">
      <c r="A9" s="2" t="s">
        <v>1488</v>
      </c>
      <c r="B9" s="2">
        <v>-50.468000000000004</v>
      </c>
      <c r="C9" s="2">
        <v>15</v>
      </c>
      <c r="D9" s="7">
        <f t="shared" si="0"/>
        <v>-45</v>
      </c>
    </row>
    <row r="10" spans="1:4">
      <c r="A10" s="2" t="s">
        <v>1489</v>
      </c>
      <c r="B10" s="2">
        <v>100.34</v>
      </c>
      <c r="C10" s="2">
        <v>2</v>
      </c>
      <c r="D10" s="7">
        <f t="shared" si="0"/>
        <v>102</v>
      </c>
    </row>
    <row r="11" spans="1:4">
      <c r="A11" s="2" t="s">
        <v>1490</v>
      </c>
      <c r="B11" s="2">
        <v>-23.33</v>
      </c>
      <c r="C11" s="2">
        <v>-2</v>
      </c>
      <c r="D11" s="7">
        <f t="shared" si="0"/>
        <v>-24</v>
      </c>
    </row>
    <row r="14" spans="1:4" ht="15.6">
      <c r="D14" s="102"/>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96E4-9188-437C-9AA5-EE3AD4CE8117}">
  <sheetPr codeName="Sheet151"/>
  <dimension ref="A1:D7"/>
  <sheetViews>
    <sheetView workbookViewId="0">
      <selection activeCell="C22" activeCellId="1" sqref="B17 C22"/>
    </sheetView>
  </sheetViews>
  <sheetFormatPr defaultRowHeight="14.4"/>
  <cols>
    <col min="1" max="1" width="15.33203125" bestFit="1" customWidth="1"/>
    <col min="2" max="2" width="8.109375" bestFit="1" customWidth="1"/>
    <col min="3" max="3" width="10.44140625" bestFit="1" customWidth="1"/>
    <col min="4" max="4" width="25.109375" bestFit="1" customWidth="1"/>
  </cols>
  <sheetData>
    <row r="1" spans="1:4">
      <c r="A1" s="98" t="s">
        <v>1494</v>
      </c>
      <c r="B1" s="98" t="s">
        <v>357</v>
      </c>
      <c r="C1" s="98" t="s">
        <v>1491</v>
      </c>
      <c r="D1" s="98" t="s">
        <v>1495</v>
      </c>
    </row>
    <row r="2" spans="1:4">
      <c r="A2" s="2" t="s">
        <v>1497</v>
      </c>
      <c r="B2" s="2">
        <v>212</v>
      </c>
      <c r="C2" s="2">
        <v>50</v>
      </c>
      <c r="D2" s="7">
        <f t="shared" ref="D2:D7" si="0">CEILING(B2,C2)</f>
        <v>250</v>
      </c>
    </row>
    <row r="3" spans="1:4">
      <c r="A3" s="2" t="s">
        <v>1498</v>
      </c>
      <c r="B3" s="2">
        <v>296</v>
      </c>
      <c r="C3" s="2">
        <v>10</v>
      </c>
      <c r="D3" s="7">
        <f t="shared" si="0"/>
        <v>300</v>
      </c>
    </row>
    <row r="4" spans="1:4">
      <c r="A4" s="2" t="s">
        <v>1501</v>
      </c>
      <c r="B4" s="2">
        <v>131</v>
      </c>
      <c r="C4" s="2">
        <v>50</v>
      </c>
      <c r="D4" s="7">
        <f t="shared" si="0"/>
        <v>150</v>
      </c>
    </row>
    <row r="5" spans="1:4">
      <c r="A5" s="2" t="s">
        <v>1502</v>
      </c>
      <c r="B5" s="2">
        <v>167</v>
      </c>
      <c r="C5" s="2">
        <v>100</v>
      </c>
      <c r="D5" s="7">
        <f t="shared" si="0"/>
        <v>200</v>
      </c>
    </row>
    <row r="6" spans="1:4">
      <c r="A6" s="2" t="s">
        <v>1499</v>
      </c>
      <c r="B6" s="2">
        <v>94</v>
      </c>
      <c r="C6" s="2">
        <v>100</v>
      </c>
      <c r="D6" s="7">
        <f t="shared" si="0"/>
        <v>100</v>
      </c>
    </row>
    <row r="7" spans="1:4">
      <c r="A7" s="2" t="s">
        <v>1500</v>
      </c>
      <c r="B7" s="2">
        <v>118</v>
      </c>
      <c r="C7" s="2">
        <v>120</v>
      </c>
      <c r="D7" s="7">
        <f t="shared" si="0"/>
        <v>120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E5A-7EC7-4ED7-B7DE-36A385ADE969}">
  <sheetPr codeName="Sheet152"/>
  <dimension ref="A1:I11"/>
  <sheetViews>
    <sheetView workbookViewId="0">
      <selection activeCell="C22" activeCellId="1" sqref="B17 C22"/>
    </sheetView>
  </sheetViews>
  <sheetFormatPr defaultRowHeight="14.4"/>
  <cols>
    <col min="1" max="1" width="11.33203125" bestFit="1" customWidth="1"/>
    <col min="3" max="3" width="9.88671875" bestFit="1" customWidth="1"/>
    <col min="4" max="4" width="10.44140625" bestFit="1" customWidth="1"/>
    <col min="5" max="5" width="19.88671875" bestFit="1" customWidth="1"/>
  </cols>
  <sheetData>
    <row r="1" spans="1:9">
      <c r="A1" s="98" t="s">
        <v>354</v>
      </c>
      <c r="B1" s="98" t="s">
        <v>1504</v>
      </c>
      <c r="C1" s="98" t="s">
        <v>357</v>
      </c>
      <c r="D1" s="98" t="s">
        <v>1491</v>
      </c>
      <c r="E1" s="98" t="s">
        <v>1505</v>
      </c>
    </row>
    <row r="2" spans="1:9">
      <c r="A2" s="2" t="s">
        <v>340</v>
      </c>
      <c r="B2" s="2" t="s">
        <v>1503</v>
      </c>
      <c r="C2" s="2">
        <v>200.458</v>
      </c>
      <c r="D2" s="2">
        <v>0.1</v>
      </c>
      <c r="E2" s="7">
        <f>CEILING(C2,D2)</f>
        <v>200.5</v>
      </c>
    </row>
    <row r="3" spans="1:9">
      <c r="A3" s="2" t="s">
        <v>342</v>
      </c>
      <c r="B3" s="2" t="s">
        <v>1503</v>
      </c>
      <c r="C3" s="2">
        <v>198.23390000000001</v>
      </c>
      <c r="D3" s="2">
        <v>0.01</v>
      </c>
      <c r="E3" s="7">
        <f>CEILING(C3,D3)</f>
        <v>198.24</v>
      </c>
    </row>
    <row r="4" spans="1:9">
      <c r="A4" s="2" t="s">
        <v>341</v>
      </c>
      <c r="B4" s="2" t="s">
        <v>1503</v>
      </c>
      <c r="C4" s="2">
        <v>53.013835</v>
      </c>
      <c r="D4" s="2">
        <v>1E-3</v>
      </c>
      <c r="E4" s="7">
        <f>CEILING(C4,D4)</f>
        <v>53.014000000000003</v>
      </c>
    </row>
    <row r="5" spans="1:9">
      <c r="A5" s="2" t="s">
        <v>343</v>
      </c>
      <c r="B5" s="2" t="s">
        <v>1503</v>
      </c>
      <c r="C5" s="2">
        <v>154.96</v>
      </c>
      <c r="D5" s="2">
        <v>1</v>
      </c>
      <c r="E5" s="7">
        <f>CEILING(C5,D5)</f>
        <v>155</v>
      </c>
    </row>
    <row r="6" spans="1:9">
      <c r="A6" s="2" t="s">
        <v>345</v>
      </c>
      <c r="B6" s="2" t="s">
        <v>153</v>
      </c>
      <c r="C6" s="2">
        <v>100.2</v>
      </c>
      <c r="D6" s="2">
        <v>1</v>
      </c>
      <c r="E6" s="7">
        <f>CEILING(C6,D6)</f>
        <v>101</v>
      </c>
    </row>
    <row r="11" spans="1:9">
      <c r="I11" s="103" t="b">
        <f>ISODD(CEILING(ROW()-4,3)/3)</f>
        <v>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CACC2-5D66-49D1-9994-1FCBE2E72E9A}">
  <sheetPr codeName="Sheet153"/>
  <dimension ref="A1:E11"/>
  <sheetViews>
    <sheetView workbookViewId="0">
      <selection activeCell="C22" activeCellId="1" sqref="B17 C22"/>
    </sheetView>
  </sheetViews>
  <sheetFormatPr defaultRowHeight="14.4"/>
  <cols>
    <col min="1" max="1" width="14.44140625" bestFit="1" customWidth="1"/>
    <col min="2" max="2" width="8.44140625" bestFit="1" customWidth="1"/>
    <col min="3" max="3" width="8.44140625" customWidth="1"/>
    <col min="4" max="4" width="12.5546875" bestFit="1" customWidth="1"/>
    <col min="5" max="5" width="14" bestFit="1" customWidth="1"/>
  </cols>
  <sheetData>
    <row r="1" spans="1:5">
      <c r="A1" s="98" t="s">
        <v>240</v>
      </c>
      <c r="B1" s="98" t="s">
        <v>670</v>
      </c>
      <c r="C1" s="98" t="s">
        <v>108</v>
      </c>
      <c r="D1" s="98" t="s">
        <v>1506</v>
      </c>
      <c r="E1" s="98" t="s">
        <v>1507</v>
      </c>
    </row>
    <row r="2" spans="1:5">
      <c r="A2" s="22" t="s">
        <v>1508</v>
      </c>
      <c r="B2" s="20">
        <v>44744</v>
      </c>
      <c r="C2" s="20" t="s">
        <v>1513</v>
      </c>
      <c r="D2" s="104">
        <v>0.39583333333333331</v>
      </c>
      <c r="E2" s="104">
        <v>0.77083333333333337</v>
      </c>
    </row>
    <row r="3" spans="1:5">
      <c r="A3" s="22" t="s">
        <v>1508</v>
      </c>
      <c r="B3" s="20">
        <v>44745</v>
      </c>
      <c r="C3" s="20" t="s">
        <v>1514</v>
      </c>
      <c r="D3" s="104">
        <v>0.39583333333333331</v>
      </c>
      <c r="E3" s="104">
        <v>0.6875</v>
      </c>
    </row>
    <row r="4" spans="1:5">
      <c r="A4" s="3" t="s">
        <v>1509</v>
      </c>
      <c r="B4" s="20">
        <v>44744</v>
      </c>
      <c r="C4" s="20" t="s">
        <v>1513</v>
      </c>
      <c r="D4" s="104">
        <v>0.375</v>
      </c>
      <c r="E4" s="104">
        <v>0.72916666666666663</v>
      </c>
    </row>
    <row r="5" spans="1:5">
      <c r="A5" s="3" t="s">
        <v>1509</v>
      </c>
      <c r="B5" s="20">
        <v>44745</v>
      </c>
      <c r="C5" s="20" t="s">
        <v>1514</v>
      </c>
      <c r="D5" s="104">
        <v>0.375</v>
      </c>
      <c r="E5" s="104">
        <v>0.70833333333333337</v>
      </c>
    </row>
    <row r="6" spans="1:5">
      <c r="A6" s="3" t="s">
        <v>1510</v>
      </c>
      <c r="B6" s="20">
        <v>44744</v>
      </c>
      <c r="C6" s="20" t="s">
        <v>1513</v>
      </c>
      <c r="D6" s="104">
        <v>0.38541666666666669</v>
      </c>
      <c r="E6" s="104">
        <v>0.77083333333333337</v>
      </c>
    </row>
    <row r="7" spans="1:5">
      <c r="A7" s="3" t="s">
        <v>1510</v>
      </c>
      <c r="B7" s="20">
        <v>44745</v>
      </c>
      <c r="C7" s="20" t="s">
        <v>1514</v>
      </c>
      <c r="D7" s="104">
        <v>0.375</v>
      </c>
      <c r="E7" s="104">
        <v>0.66666666666666663</v>
      </c>
    </row>
    <row r="8" spans="1:5">
      <c r="A8" s="22" t="s">
        <v>1511</v>
      </c>
      <c r="B8" s="20">
        <v>44744</v>
      </c>
      <c r="C8" s="20" t="s">
        <v>1513</v>
      </c>
      <c r="D8" s="104">
        <v>0.39583333333333331</v>
      </c>
      <c r="E8" s="104">
        <v>0.77083333333333337</v>
      </c>
    </row>
    <row r="9" spans="1:5">
      <c r="A9" s="22" t="s">
        <v>1511</v>
      </c>
      <c r="B9" s="20">
        <v>44745</v>
      </c>
      <c r="C9" s="20" t="s">
        <v>1514</v>
      </c>
      <c r="D9" s="104">
        <v>0.39583333333333331</v>
      </c>
      <c r="E9" s="104">
        <v>0.77083333333333337</v>
      </c>
    </row>
    <row r="10" spans="1:5">
      <c r="A10" s="22" t="s">
        <v>1512</v>
      </c>
      <c r="B10" s="20">
        <v>44744</v>
      </c>
      <c r="C10" s="20" t="s">
        <v>1513</v>
      </c>
      <c r="D10" s="104">
        <v>0.35416666666666669</v>
      </c>
      <c r="E10" s="104">
        <v>0.72916666666666663</v>
      </c>
    </row>
    <row r="11" spans="1:5">
      <c r="A11" s="22" t="s">
        <v>1512</v>
      </c>
      <c r="B11" s="20">
        <v>44745</v>
      </c>
      <c r="C11" s="20" t="s">
        <v>1514</v>
      </c>
      <c r="D11" s="104">
        <v>0.375</v>
      </c>
      <c r="E11" s="104">
        <v>0.77083333333333337</v>
      </c>
    </row>
  </sheetData>
  <conditionalFormatting sqref="A2:E11">
    <cfRule type="expression" dxfId="6" priority="1">
      <formula>ISODD(CEILING(ROW()-3,2)/2)</formula>
    </cfRule>
  </conditionalFormatting>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692F-AF9D-472B-9D5C-991D7C20B7E3}">
  <sheetPr codeName="Sheet154"/>
  <dimension ref="A1:C4"/>
  <sheetViews>
    <sheetView workbookViewId="0"/>
  </sheetViews>
  <sheetFormatPr defaultRowHeight="14.4"/>
  <cols>
    <col min="1" max="1" width="7.5546875" bestFit="1" customWidth="1"/>
    <col min="2" max="2" width="10.44140625" bestFit="1" customWidth="1"/>
    <col min="3" max="3" width="25" bestFit="1" customWidth="1"/>
  </cols>
  <sheetData>
    <row r="1" spans="1:3">
      <c r="A1" s="98" t="s">
        <v>153</v>
      </c>
      <c r="B1" s="98" t="s">
        <v>1491</v>
      </c>
      <c r="C1" s="98" t="s">
        <v>1515</v>
      </c>
    </row>
    <row r="2" spans="1:3">
      <c r="A2" s="2">
        <v>5.4219999999999997</v>
      </c>
      <c r="B2" s="2">
        <v>0.1</v>
      </c>
      <c r="C2" s="7">
        <v>5.5</v>
      </c>
    </row>
    <row r="3" spans="1:3">
      <c r="A3" s="2">
        <v>55</v>
      </c>
      <c r="B3" s="2">
        <v>7</v>
      </c>
      <c r="C3" s="7">
        <v>56</v>
      </c>
    </row>
    <row r="4" spans="1:3">
      <c r="A4" s="2">
        <v>-100.45</v>
      </c>
      <c r="B4" s="2">
        <v>3</v>
      </c>
      <c r="C4" s="7">
        <v>-99</v>
      </c>
    </row>
  </sheetData>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8E9F2-4ECD-46C2-A17F-6762E77AEFB1}">
  <sheetPr codeName="Sheet155"/>
  <dimension ref="A1:F11"/>
  <sheetViews>
    <sheetView workbookViewId="0"/>
  </sheetViews>
  <sheetFormatPr defaultRowHeight="14.4"/>
  <cols>
    <col min="1" max="1" width="14.109375" bestFit="1" customWidth="1"/>
    <col min="2" max="2" width="11.5546875" bestFit="1" customWidth="1"/>
    <col min="4" max="4" width="28.5546875" bestFit="1" customWidth="1"/>
    <col min="6" max="6" width="31.44140625" bestFit="1" customWidth="1"/>
  </cols>
  <sheetData>
    <row r="1" spans="1:6">
      <c r="A1" s="98" t="s">
        <v>1516</v>
      </c>
      <c r="B1" s="98" t="s">
        <v>1518</v>
      </c>
      <c r="F1" s="98" t="s">
        <v>1520</v>
      </c>
    </row>
    <row r="2" spans="1:6">
      <c r="A2" s="2">
        <v>72</v>
      </c>
      <c r="B2" s="2">
        <v>195</v>
      </c>
      <c r="D2" s="98" t="s">
        <v>1519</v>
      </c>
      <c r="E2" s="7">
        <f>LARGE(A2:A11,2)</f>
        <v>72</v>
      </c>
      <c r="F2" s="65" t="s">
        <v>1521</v>
      </c>
    </row>
    <row r="3" spans="1:6">
      <c r="A3" s="2">
        <v>70</v>
      </c>
      <c r="B3" s="2">
        <v>181</v>
      </c>
      <c r="D3" s="98" t="s">
        <v>1517</v>
      </c>
      <c r="E3" s="7">
        <f>LARGE(B2:B11,1)</f>
        <v>200</v>
      </c>
      <c r="F3" s="65" t="s">
        <v>1522</v>
      </c>
    </row>
    <row r="4" spans="1:6">
      <c r="A4" s="2">
        <v>63</v>
      </c>
      <c r="B4" s="2">
        <v>165</v>
      </c>
    </row>
    <row r="5" spans="1:6">
      <c r="A5" s="2">
        <v>70</v>
      </c>
      <c r="B5" s="2">
        <v>185</v>
      </c>
    </row>
    <row r="6" spans="1:6">
      <c r="A6" s="2">
        <v>73</v>
      </c>
      <c r="B6" s="2">
        <v>200</v>
      </c>
    </row>
    <row r="7" spans="1:6">
      <c r="A7" s="2">
        <v>68</v>
      </c>
      <c r="B7" s="2">
        <v>170</v>
      </c>
    </row>
    <row r="8" spans="1:6">
      <c r="A8" s="2">
        <v>69</v>
      </c>
      <c r="B8" s="2">
        <v>180</v>
      </c>
    </row>
    <row r="9" spans="1:6">
      <c r="A9" s="2">
        <v>65</v>
      </c>
      <c r="B9" s="2">
        <v>169</v>
      </c>
    </row>
    <row r="10" spans="1:6">
      <c r="A10" s="2">
        <v>60</v>
      </c>
      <c r="B10" s="2">
        <v>160</v>
      </c>
    </row>
    <row r="11" spans="1:6">
      <c r="A11" s="2">
        <v>71</v>
      </c>
      <c r="B11" s="2">
        <v>190</v>
      </c>
    </row>
  </sheetData>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7551-A4B0-4A7C-8F69-5CC8BA0A33BF}">
  <sheetPr codeName="Sheet156"/>
  <dimension ref="A1:D14"/>
  <sheetViews>
    <sheetView workbookViewId="0"/>
  </sheetViews>
  <sheetFormatPr defaultRowHeight="14.4"/>
  <cols>
    <col min="1" max="1" width="36.5546875" bestFit="1" customWidth="1"/>
    <col min="2" max="2" width="8.44140625" bestFit="1" customWidth="1"/>
  </cols>
  <sheetData>
    <row r="1" spans="1:4">
      <c r="A1" s="98" t="s">
        <v>78</v>
      </c>
      <c r="B1" s="98" t="s">
        <v>136</v>
      </c>
    </row>
    <row r="2" spans="1:4">
      <c r="A2" s="2" t="s">
        <v>444</v>
      </c>
      <c r="B2" s="53">
        <v>999</v>
      </c>
      <c r="D2" s="105"/>
    </row>
    <row r="3" spans="1:4">
      <c r="A3" s="2" t="s">
        <v>1464</v>
      </c>
      <c r="B3" s="53">
        <v>840</v>
      </c>
    </row>
    <row r="4" spans="1:4">
      <c r="A4" s="2" t="s">
        <v>1523</v>
      </c>
      <c r="B4" s="53">
        <v>699</v>
      </c>
    </row>
    <row r="5" spans="1:4">
      <c r="A5" s="2" t="s">
        <v>1524</v>
      </c>
      <c r="B5" s="53">
        <v>699</v>
      </c>
    </row>
    <row r="6" spans="1:4">
      <c r="A6" s="2" t="s">
        <v>1525</v>
      </c>
      <c r="B6" s="53">
        <v>800</v>
      </c>
    </row>
    <row r="7" spans="1:4">
      <c r="A7" s="2" t="s">
        <v>1466</v>
      </c>
      <c r="B7" s="53">
        <v>599</v>
      </c>
    </row>
    <row r="8" spans="1:4">
      <c r="A8" s="2" t="s">
        <v>1526</v>
      </c>
      <c r="B8" s="53">
        <v>429</v>
      </c>
    </row>
    <row r="9" spans="1:4">
      <c r="A9" s="2" t="s">
        <v>1527</v>
      </c>
      <c r="B9" s="53">
        <v>449</v>
      </c>
    </row>
    <row r="10" spans="1:4">
      <c r="A10" s="2" t="s">
        <v>1528</v>
      </c>
      <c r="B10" s="53">
        <v>700</v>
      </c>
    </row>
    <row r="11" spans="1:4">
      <c r="A11" s="2" t="s">
        <v>1529</v>
      </c>
      <c r="B11" s="53">
        <v>699</v>
      </c>
    </row>
    <row r="14" spans="1:4" ht="16.2">
      <c r="A14" s="98" t="s">
        <v>1530</v>
      </c>
      <c r="B14" s="67">
        <f>LARGE(B2:B11,5)</f>
        <v>699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9005-008B-4389-A6A0-B355172A7308}">
  <sheetPr codeName="Sheet157"/>
  <dimension ref="A1:F11"/>
  <sheetViews>
    <sheetView workbookViewId="0"/>
  </sheetViews>
  <sheetFormatPr defaultRowHeight="14.4"/>
  <cols>
    <col min="1" max="1" width="17.5546875" bestFit="1" customWidth="1"/>
    <col min="2" max="2" width="25.88671875" bestFit="1" customWidth="1"/>
    <col min="5" max="5" width="5" bestFit="1" customWidth="1"/>
    <col min="6" max="6" width="28" customWidth="1"/>
  </cols>
  <sheetData>
    <row r="1" spans="1:6">
      <c r="A1" s="98" t="s">
        <v>1531</v>
      </c>
      <c r="B1" s="98" t="s">
        <v>1532</v>
      </c>
      <c r="E1" s="382" t="s">
        <v>1542</v>
      </c>
      <c r="F1" s="382"/>
    </row>
    <row r="2" spans="1:6">
      <c r="A2" s="3" t="s">
        <v>1534</v>
      </c>
      <c r="B2" s="2">
        <v>76</v>
      </c>
      <c r="E2" s="98" t="s">
        <v>95</v>
      </c>
      <c r="F2" s="98" t="s">
        <v>1531</v>
      </c>
    </row>
    <row r="3" spans="1:6">
      <c r="A3" s="3" t="s">
        <v>1538</v>
      </c>
      <c r="B3" s="2">
        <v>33.4</v>
      </c>
      <c r="E3" s="2">
        <v>1</v>
      </c>
      <c r="F3" s="7" t="str">
        <f>INDEX($A$2:$A$11,MATCH(LARGE($B$2:$B$11,E3),$B$2:$B$11,0))</f>
        <v>Apple</v>
      </c>
    </row>
    <row r="4" spans="1:6">
      <c r="A4" s="3" t="s">
        <v>340</v>
      </c>
      <c r="B4" s="2">
        <v>94.7</v>
      </c>
      <c r="E4" s="2">
        <v>2</v>
      </c>
      <c r="F4" s="7" t="str">
        <f>INDEX($A$2:$A$11,MATCH(LARGE($B$2:$B$11,E4),$B$2:$B$11,0))</f>
        <v>Berkshire Hathaway</v>
      </c>
    </row>
    <row r="5" spans="1:6">
      <c r="A5" s="3" t="s">
        <v>1539</v>
      </c>
      <c r="B5" s="2">
        <v>32</v>
      </c>
      <c r="E5" s="2">
        <v>3</v>
      </c>
      <c r="F5" s="7" t="str">
        <f>INDEX($A$2:$A$11,MATCH(LARGE($B$2:$B$11,E5),$B$2:$B$11,0))</f>
        <v>Alphabet</v>
      </c>
    </row>
    <row r="6" spans="1:6">
      <c r="A6" s="3" t="s">
        <v>1533</v>
      </c>
      <c r="B6" s="2">
        <v>89.8</v>
      </c>
      <c r="E6" s="2">
        <v>4</v>
      </c>
      <c r="F6" s="7" t="str">
        <f>INDEX($A$2:$A$11,MATCH(LARGE($B$2:$B$11,E6),$B$2:$B$11,0))</f>
        <v>Microsoft</v>
      </c>
    </row>
    <row r="7" spans="1:6">
      <c r="A7" s="3" t="s">
        <v>1540</v>
      </c>
      <c r="B7" s="2">
        <v>23</v>
      </c>
      <c r="E7" s="2">
        <v>5</v>
      </c>
      <c r="F7" s="7" t="str">
        <f>INDEX($A$2:$A$11,MATCH(LARGE($B$2:$B$11,E7),$B$2:$B$11,0))</f>
        <v>JP Morgan Chase</v>
      </c>
    </row>
    <row r="8" spans="1:6">
      <c r="A8" s="3" t="s">
        <v>1541</v>
      </c>
      <c r="B8" s="2">
        <v>22.2</v>
      </c>
    </row>
    <row r="9" spans="1:6">
      <c r="A9" s="3" t="s">
        <v>1536</v>
      </c>
      <c r="B9" s="2">
        <v>48.3</v>
      </c>
    </row>
    <row r="10" spans="1:6">
      <c r="A10" s="3" t="s">
        <v>1537</v>
      </c>
      <c r="B10" s="2">
        <v>39.4</v>
      </c>
    </row>
    <row r="11" spans="1:6">
      <c r="A11" s="3" t="s">
        <v>1535</v>
      </c>
      <c r="B11" s="2">
        <v>61.3</v>
      </c>
    </row>
  </sheetData>
  <sortState xmlns:xlrd2="http://schemas.microsoft.com/office/spreadsheetml/2017/richdata2" ref="A2:A11">
    <sortCondition ref="A2"/>
  </sortState>
  <mergeCells count="1">
    <mergeCell ref="E1:F1"/>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036E4-85BE-4924-9217-426C412DB5B7}">
  <sheetPr codeName="Sheet158"/>
  <dimension ref="A1:C16"/>
  <sheetViews>
    <sheetView workbookViewId="0"/>
  </sheetViews>
  <sheetFormatPr defaultRowHeight="14.4"/>
  <cols>
    <col min="1" max="1" width="26.88671875" bestFit="1" customWidth="1"/>
    <col min="3" max="3" width="33.5546875" bestFit="1" customWidth="1"/>
  </cols>
  <sheetData>
    <row r="1" spans="1:3">
      <c r="A1" s="98" t="s">
        <v>1543</v>
      </c>
      <c r="C1" s="98" t="s">
        <v>1544</v>
      </c>
    </row>
    <row r="2" spans="1:3">
      <c r="A2" s="2">
        <v>2260</v>
      </c>
      <c r="C2" s="7">
        <f>LARGE($A$2:$A$16,ROWS(A$2:A2))</f>
        <v>2590</v>
      </c>
    </row>
    <row r="3" spans="1:3">
      <c r="A3" s="2">
        <v>2350</v>
      </c>
      <c r="C3" s="7">
        <f>LARGE($A$2:$A$16,ROWS(A$2:A3))</f>
        <v>2580</v>
      </c>
    </row>
    <row r="4" spans="1:3">
      <c r="A4" s="2">
        <v>2590</v>
      </c>
      <c r="C4" s="7">
        <f>LARGE($A$2:$A$16,ROWS(A$2:A4))</f>
        <v>2575</v>
      </c>
    </row>
    <row r="5" spans="1:3">
      <c r="A5" s="2">
        <v>2100</v>
      </c>
      <c r="C5" s="7">
        <f>LARGE($A$2:$A$16,ROWS(A$2:A5))</f>
        <v>2485</v>
      </c>
    </row>
    <row r="6" spans="1:3">
      <c r="A6" s="2">
        <v>1900</v>
      </c>
      <c r="C6" s="7">
        <f>LARGE($A$2:$A$16,ROWS(A$2:A6))</f>
        <v>2465</v>
      </c>
    </row>
    <row r="7" spans="1:3">
      <c r="A7" s="2">
        <v>2145</v>
      </c>
      <c r="C7" s="7">
        <f>LARGE($A$2:$A$16,ROWS(A$2:A7))</f>
        <v>2350</v>
      </c>
    </row>
    <row r="8" spans="1:3">
      <c r="A8" s="2">
        <v>2292</v>
      </c>
      <c r="C8" s="7">
        <f>LARGE($A$2:$A$16,ROWS(A$2:A8))</f>
        <v>2310</v>
      </c>
    </row>
    <row r="9" spans="1:3">
      <c r="A9" s="2">
        <v>2465</v>
      </c>
      <c r="C9" s="7">
        <f>LARGE($A$2:$A$16,ROWS(A$2:A9))</f>
        <v>2292</v>
      </c>
    </row>
    <row r="10" spans="1:3">
      <c r="A10" s="2">
        <v>2575</v>
      </c>
      <c r="C10" s="7">
        <f>LARGE($A$2:$A$16,ROWS(A$2:A10))</f>
        <v>2261</v>
      </c>
    </row>
    <row r="11" spans="1:3">
      <c r="A11" s="2">
        <v>2310</v>
      </c>
      <c r="C11" s="7">
        <f>LARGE($A$2:$A$16,ROWS(A$2:A11))</f>
        <v>2260</v>
      </c>
    </row>
    <row r="12" spans="1:3">
      <c r="A12" s="2">
        <v>2261</v>
      </c>
      <c r="C12" s="7">
        <f>LARGE($A$2:$A$16,ROWS(A$2:A12))</f>
        <v>2150</v>
      </c>
    </row>
    <row r="13" spans="1:3">
      <c r="A13" s="2">
        <v>2580</v>
      </c>
      <c r="C13" s="7">
        <f>LARGE($A$2:$A$16,ROWS(A$2:A13))</f>
        <v>2145</v>
      </c>
    </row>
    <row r="14" spans="1:3">
      <c r="A14" s="2">
        <v>2150</v>
      </c>
      <c r="C14" s="7">
        <f>LARGE($A$2:$A$16,ROWS(A$2:A14))</f>
        <v>2142</v>
      </c>
    </row>
    <row r="15" spans="1:3">
      <c r="A15" s="2">
        <v>2485</v>
      </c>
      <c r="C15" s="7">
        <f>LARGE($A$2:$A$16,ROWS(A$2:A15))</f>
        <v>2100</v>
      </c>
    </row>
    <row r="16" spans="1:3">
      <c r="A16" s="2">
        <v>2142</v>
      </c>
      <c r="C16" s="7">
        <f>LARGE($A$2:$A$16,ROWS(A$2:A16))</f>
        <v>1900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B39F-85BC-4A4C-94D3-D2A551A1E29D}">
  <sheetPr codeName="Sheet159"/>
  <dimension ref="A1:D11"/>
  <sheetViews>
    <sheetView workbookViewId="0"/>
  </sheetViews>
  <sheetFormatPr defaultRowHeight="14.4"/>
  <cols>
    <col min="1" max="1" width="38.44140625" style="14" bestFit="1" customWidth="1"/>
    <col min="2" max="2" width="9.44140625" style="14" bestFit="1" customWidth="1"/>
  </cols>
  <sheetData>
    <row r="1" spans="1:4">
      <c r="A1" s="98" t="s">
        <v>1545</v>
      </c>
      <c r="B1" s="98" t="s">
        <v>1546</v>
      </c>
    </row>
    <row r="2" spans="1:4">
      <c r="A2" s="35" t="s">
        <v>1547</v>
      </c>
      <c r="B2" s="20">
        <v>44784</v>
      </c>
      <c r="D2" s="48"/>
    </row>
    <row r="3" spans="1:4">
      <c r="A3" s="35" t="s">
        <v>1554</v>
      </c>
      <c r="B3" s="20">
        <v>44785</v>
      </c>
    </row>
    <row r="4" spans="1:4">
      <c r="A4" s="35" t="s">
        <v>1549</v>
      </c>
      <c r="B4" s="20">
        <v>44788</v>
      </c>
    </row>
    <row r="5" spans="1:4">
      <c r="A5" s="35" t="s">
        <v>1550</v>
      </c>
      <c r="B5" s="20">
        <v>44793</v>
      </c>
    </row>
    <row r="6" spans="1:4">
      <c r="A6" s="35" t="s">
        <v>1548</v>
      </c>
      <c r="B6" s="20">
        <v>44803</v>
      </c>
    </row>
    <row r="7" spans="1:4">
      <c r="A7" s="35" t="s">
        <v>1551</v>
      </c>
      <c r="B7" s="20">
        <v>44805</v>
      </c>
    </row>
    <row r="9" spans="1:4">
      <c r="A9" s="98" t="s">
        <v>1553</v>
      </c>
      <c r="B9" s="20">
        <v>44783</v>
      </c>
    </row>
    <row r="11" spans="1:4">
      <c r="A11" s="98" t="s">
        <v>1552</v>
      </c>
      <c r="B11" s="66">
        <f>LARGE($B$2:$B$7,COUNTIF($B$2:$B$7,"&gt;"&amp;B9))</f>
        <v>44784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23C3-AF5B-4932-ABDF-2816EAD02FD8}">
  <sheetPr codeName="Sheet160"/>
  <dimension ref="A1:C16"/>
  <sheetViews>
    <sheetView workbookViewId="0"/>
  </sheetViews>
  <sheetFormatPr defaultRowHeight="14.4"/>
  <cols>
    <col min="1" max="1" width="18.44140625" bestFit="1" customWidth="1"/>
    <col min="2" max="2" width="25.6640625" bestFit="1" customWidth="1"/>
    <col min="3" max="3" width="22.44140625" bestFit="1" customWidth="1"/>
  </cols>
  <sheetData>
    <row r="1" spans="1:3">
      <c r="A1" s="98" t="s">
        <v>1556</v>
      </c>
      <c r="B1" s="98" t="s">
        <v>1555</v>
      </c>
      <c r="C1" s="98" t="s">
        <v>240</v>
      </c>
    </row>
    <row r="2" spans="1:3">
      <c r="A2" s="2" t="s">
        <v>47</v>
      </c>
      <c r="B2" s="2">
        <v>3010</v>
      </c>
      <c r="C2" s="3" t="s">
        <v>1557</v>
      </c>
    </row>
    <row r="3" spans="1:3">
      <c r="A3" s="2" t="s">
        <v>48</v>
      </c>
      <c r="B3" s="2">
        <v>3590</v>
      </c>
      <c r="C3" s="3" t="s">
        <v>1558</v>
      </c>
    </row>
    <row r="4" spans="1:3">
      <c r="A4" s="2" t="s">
        <v>49</v>
      </c>
      <c r="B4" s="2">
        <v>4250</v>
      </c>
      <c r="C4" s="3" t="s">
        <v>1559</v>
      </c>
    </row>
    <row r="5" spans="1:3">
      <c r="A5" s="2" t="s">
        <v>50</v>
      </c>
      <c r="B5" s="2">
        <v>3300</v>
      </c>
      <c r="C5" s="3" t="s">
        <v>1560</v>
      </c>
    </row>
    <row r="6" spans="1:3">
      <c r="A6" s="2" t="s">
        <v>51</v>
      </c>
      <c r="B6" s="2">
        <v>2180</v>
      </c>
      <c r="C6" s="3" t="s">
        <v>1561</v>
      </c>
    </row>
    <row r="7" spans="1:3">
      <c r="A7" s="2" t="s">
        <v>52</v>
      </c>
      <c r="B7" s="2">
        <v>4960</v>
      </c>
      <c r="C7" s="3" t="s">
        <v>1562</v>
      </c>
    </row>
    <row r="8" spans="1:3">
      <c r="A8" s="2" t="s">
        <v>53</v>
      </c>
      <c r="B8" s="2">
        <v>2910</v>
      </c>
      <c r="C8" s="3" t="s">
        <v>1563</v>
      </c>
    </row>
    <row r="9" spans="1:3">
      <c r="A9" s="2" t="s">
        <v>54</v>
      </c>
      <c r="B9" s="2">
        <v>3420</v>
      </c>
      <c r="C9" s="3" t="s">
        <v>1564</v>
      </c>
    </row>
    <row r="10" spans="1:3">
      <c r="A10" s="2" t="s">
        <v>55</v>
      </c>
      <c r="B10" s="2">
        <v>2810</v>
      </c>
      <c r="C10" s="3" t="s">
        <v>1565</v>
      </c>
    </row>
    <row r="11" spans="1:3">
      <c r="A11" s="2" t="s">
        <v>56</v>
      </c>
      <c r="B11" s="2">
        <v>1750</v>
      </c>
      <c r="C11" s="3" t="s">
        <v>1566</v>
      </c>
    </row>
    <row r="12" spans="1:3">
      <c r="A12" s="2" t="s">
        <v>57</v>
      </c>
      <c r="B12" s="2">
        <v>2550</v>
      </c>
      <c r="C12" s="3" t="s">
        <v>1567</v>
      </c>
    </row>
    <row r="13" spans="1:3">
      <c r="A13" s="2" t="s">
        <v>58</v>
      </c>
      <c r="B13" s="2">
        <v>3840</v>
      </c>
      <c r="C13" s="3" t="s">
        <v>1568</v>
      </c>
    </row>
    <row r="16" spans="1:3">
      <c r="A16" s="98" t="s">
        <v>1569</v>
      </c>
      <c r="B16" s="7" t="str">
        <f>VLOOKUP(LARGE(B2:B13,1),B2:C13,2,0)</f>
        <v>Ashley Ford</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FCE-6C18-4405-9F65-0D4F92039A32}">
  <sheetPr codeName="Sheet161"/>
  <dimension ref="A1:D5"/>
  <sheetViews>
    <sheetView workbookViewId="0">
      <selection activeCell="C2" sqref="C2"/>
    </sheetView>
  </sheetViews>
  <sheetFormatPr defaultRowHeight="14.4"/>
  <cols>
    <col min="1" max="1" width="23.6640625" customWidth="1"/>
    <col min="2" max="2" width="49.109375" bestFit="1" customWidth="1"/>
    <col min="3" max="3" width="20.5546875" customWidth="1"/>
    <col min="4" max="4" width="46.6640625" customWidth="1"/>
  </cols>
  <sheetData>
    <row r="1" spans="1:4">
      <c r="A1" s="98" t="s">
        <v>598</v>
      </c>
      <c r="B1" s="98" t="s">
        <v>1138</v>
      </c>
      <c r="C1" s="98" t="s">
        <v>1578</v>
      </c>
      <c r="D1" s="98" t="s">
        <v>1570</v>
      </c>
    </row>
    <row r="2" spans="1:4">
      <c r="A2" s="2" t="s">
        <v>1571</v>
      </c>
      <c r="B2" s="2" t="s">
        <v>1641</v>
      </c>
      <c r="C2" s="7" t="str">
        <f>SUBSTITUTE(A2,"C","B")</f>
        <v>Battle</v>
      </c>
      <c r="D2" s="2" t="s">
        <v>1574</v>
      </c>
    </row>
    <row r="3" spans="1:4">
      <c r="A3" s="2" t="s">
        <v>1572</v>
      </c>
      <c r="B3" s="2" t="s">
        <v>1638</v>
      </c>
      <c r="C3" s="7" t="str">
        <f>SUBSTITUTE(A3,"_"," ")</f>
        <v>Nathan Ford</v>
      </c>
      <c r="D3" s="2" t="s">
        <v>1575</v>
      </c>
    </row>
    <row r="4" spans="1:4">
      <c r="A4" s="2" t="s">
        <v>1576</v>
      </c>
      <c r="B4" s="2" t="s">
        <v>1639</v>
      </c>
      <c r="C4" s="7" t="str">
        <f>SUBSTITUTE(A4,"T","B",1)</f>
        <v>Battle</v>
      </c>
      <c r="D4" s="2" t="s">
        <v>1577</v>
      </c>
    </row>
    <row r="5" spans="1:4" ht="29.4" customHeight="1">
      <c r="A5" s="106" t="s">
        <v>1573</v>
      </c>
      <c r="B5" s="107" t="s">
        <v>1640</v>
      </c>
      <c r="C5" s="108" t="str">
        <f>SUBSTITUTE(A5,"SUBSTITUTE function","SUBSTITUTE()")</f>
        <v>This is an example of the SUBSTITUTE().</v>
      </c>
      <c r="D5" s="106" t="s">
        <v>1642</v>
      </c>
    </row>
  </sheetData>
  <pageMargins left="0.7" right="0.7" top="0.75" bottom="0.75" header="0.3" footer="0.3"/>
  <pageSetup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F754-EA9A-45F7-B86B-3A5A174DD4BE}">
  <sheetPr codeName="Sheet162"/>
  <dimension ref="A1:E10"/>
  <sheetViews>
    <sheetView workbookViewId="0">
      <selection activeCell="C2" sqref="C2"/>
    </sheetView>
  </sheetViews>
  <sheetFormatPr defaultRowHeight="14.4"/>
  <cols>
    <col min="1" max="1" width="31.5546875" bestFit="1" customWidth="1"/>
    <col min="2" max="2" width="10.44140625" bestFit="1" customWidth="1"/>
    <col min="3" max="3" width="9.109375" bestFit="1" customWidth="1"/>
    <col min="4" max="4" width="12" bestFit="1" customWidth="1"/>
    <col min="5" max="5" width="26.109375" bestFit="1" customWidth="1"/>
  </cols>
  <sheetData>
    <row r="1" spans="1:5">
      <c r="A1" s="98" t="s">
        <v>1584</v>
      </c>
      <c r="B1" s="98" t="s">
        <v>1579</v>
      </c>
      <c r="C1" s="98" t="s">
        <v>1580</v>
      </c>
      <c r="D1" s="98" t="s">
        <v>1582</v>
      </c>
      <c r="E1" s="98" t="s">
        <v>1585</v>
      </c>
    </row>
    <row r="2" spans="1:5">
      <c r="A2" s="2" t="s">
        <v>1586</v>
      </c>
      <c r="B2" s="2" t="s">
        <v>318</v>
      </c>
      <c r="C2" s="2" t="s">
        <v>1588</v>
      </c>
      <c r="D2" s="2"/>
      <c r="E2" s="7" t="str">
        <f t="shared" ref="E2:E7" si="0">SUBSTITUTE(A2,B2,C2)</f>
        <v>It Ends With Us</v>
      </c>
    </row>
    <row r="3" spans="1:5">
      <c r="A3" s="2" t="s">
        <v>1589</v>
      </c>
      <c r="B3" s="2" t="s">
        <v>1590</v>
      </c>
      <c r="C3" s="2" t="s">
        <v>1592</v>
      </c>
      <c r="D3" s="2"/>
      <c r="E3" s="7" t="str">
        <f t="shared" si="0"/>
        <v>I'm Glad My Mom Died</v>
      </c>
    </row>
    <row r="4" spans="1:5">
      <c r="A4" s="2" t="s">
        <v>1594</v>
      </c>
      <c r="B4" s="2" t="s">
        <v>1595</v>
      </c>
      <c r="C4" s="2" t="s">
        <v>1593</v>
      </c>
      <c r="D4" s="2"/>
      <c r="E4" s="7" t="str">
        <f t="shared" si="0"/>
        <v>Where The Crawdads Sing</v>
      </c>
    </row>
    <row r="5" spans="1:5">
      <c r="A5" s="2" t="s">
        <v>1596</v>
      </c>
      <c r="B5" s="2">
        <v>40</v>
      </c>
      <c r="C5" s="2">
        <v>48</v>
      </c>
      <c r="D5" s="2"/>
      <c r="E5" s="7" t="str">
        <f t="shared" si="0"/>
        <v>The 48 Laws Of Power</v>
      </c>
    </row>
    <row r="6" spans="1:5">
      <c r="A6" s="2" t="s">
        <v>1597</v>
      </c>
      <c r="B6" s="2" t="s">
        <v>1587</v>
      </c>
      <c r="C6" s="2" t="s">
        <v>758</v>
      </c>
      <c r="D6" s="2"/>
      <c r="E6" s="7" t="str">
        <f t="shared" si="0"/>
        <v>Our Class Is A Family</v>
      </c>
    </row>
    <row r="7" spans="1:5">
      <c r="A7" s="2" t="s">
        <v>1600</v>
      </c>
      <c r="B7" s="2" t="s">
        <v>1587</v>
      </c>
      <c r="C7" s="2" t="s">
        <v>1591</v>
      </c>
      <c r="D7" s="2"/>
      <c r="E7" s="7" t="str">
        <f t="shared" si="0"/>
        <v>The Very Hungry Caterpillar</v>
      </c>
    </row>
    <row r="8" spans="1:5">
      <c r="A8" s="2" t="s">
        <v>1598</v>
      </c>
      <c r="B8" s="2" t="s">
        <v>1581</v>
      </c>
      <c r="C8" s="2" t="s">
        <v>1599</v>
      </c>
      <c r="D8" s="2">
        <v>4</v>
      </c>
      <c r="E8" s="7" t="str">
        <f>SUBSTITUTE(A8,B8,C8,D8)</f>
        <v>Things We Never Got Over</v>
      </c>
    </row>
    <row r="9" spans="1:5">
      <c r="A9" s="2" t="s">
        <v>1583</v>
      </c>
      <c r="B9" s="2" t="s">
        <v>1581</v>
      </c>
      <c r="C9" s="2"/>
      <c r="D9" s="2">
        <v>3</v>
      </c>
      <c r="E9" s="7" t="str">
        <f>SUBSTITUTE("Reminders Of Hime","e","",3)</f>
        <v>Reminders Of Him</v>
      </c>
    </row>
    <row r="10" spans="1:5">
      <c r="A10" s="14"/>
      <c r="B10" s="14"/>
      <c r="C10" s="14"/>
      <c r="D10" s="14"/>
      <c r="E10" s="6"/>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3B28-66A2-46C5-83F0-06BD5B0D0DD2}">
  <sheetPr codeName="Sheet163"/>
  <dimension ref="A1:B4"/>
  <sheetViews>
    <sheetView workbookViewId="0">
      <selection activeCell="C2" sqref="C2"/>
    </sheetView>
  </sheetViews>
  <sheetFormatPr defaultRowHeight="14.4"/>
  <cols>
    <col min="1" max="1" width="27.5546875" bestFit="1" customWidth="1"/>
    <col min="2" max="2" width="29.88671875" bestFit="1" customWidth="1"/>
  </cols>
  <sheetData>
    <row r="1" spans="1:2">
      <c r="A1" s="98" t="s">
        <v>1601</v>
      </c>
      <c r="B1" s="98" t="s">
        <v>1602</v>
      </c>
    </row>
    <row r="2" spans="1:2">
      <c r="A2" s="2" t="s">
        <v>1603</v>
      </c>
      <c r="B2" s="7" t="str">
        <f>SUBSTITUTE(SUBSTITUTE(A2,"M","Mechanical"),"E","Engineering")</f>
        <v>Mechanical Engineering</v>
      </c>
    </row>
    <row r="3" spans="1:2">
      <c r="A3" s="2" t="s">
        <v>1604</v>
      </c>
      <c r="B3" s="7" t="str">
        <f>SUBSTITUTE(SUBSTITUTE(A3,"R","Robotics"),"M","Mechatronics")</f>
        <v>Robotics &amp; Mechatronics</v>
      </c>
    </row>
    <row r="4" spans="1:2">
      <c r="A4" s="2" t="s">
        <v>1605</v>
      </c>
      <c r="B4" s="7" t="str">
        <f>SUBSTITUTE(SUBSTITUTE(SUBSTITUTE(A4,"M","Materials",1),"M","Mineral",2),"E","Engineering")</f>
        <v>Materials and Mineral Engineering</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AF78-ECE4-4F84-B7D3-AC9D1CD3C875}">
  <sheetPr codeName="Sheet164"/>
  <dimension ref="A1:B6"/>
  <sheetViews>
    <sheetView workbookViewId="0">
      <selection activeCell="C2" sqref="C2"/>
    </sheetView>
  </sheetViews>
  <sheetFormatPr defaultRowHeight="14.4"/>
  <cols>
    <col min="1" max="1" width="44.109375" customWidth="1"/>
    <col min="2" max="2" width="11.109375" bestFit="1" customWidth="1"/>
  </cols>
  <sheetData>
    <row r="1" spans="1:2">
      <c r="A1" s="98" t="s">
        <v>1606</v>
      </c>
      <c r="B1" s="98" t="s">
        <v>1607</v>
      </c>
    </row>
    <row r="2" spans="1:2" ht="28.8">
      <c r="A2" s="107" t="s">
        <v>1608</v>
      </c>
      <c r="B2" s="7">
        <f>(LEN(TRIM(A2))-LEN(SUBSTITUTE(A2," ","")))+1</f>
        <v>17</v>
      </c>
    </row>
    <row r="3" spans="1:2" ht="28.8">
      <c r="A3" s="107" t="s">
        <v>1609</v>
      </c>
      <c r="B3" s="7">
        <f>(LEN(TRIM(A3))-LEN(SUBSTITUTE(A3," ","")))+1</f>
        <v>12</v>
      </c>
    </row>
    <row r="4" spans="1:2" ht="28.8">
      <c r="A4" s="107" t="s">
        <v>1610</v>
      </c>
      <c r="B4" s="7">
        <f>(LEN(TRIM(A4))-LEN(SUBSTITUTE(A4," ","")))+1</f>
        <v>14</v>
      </c>
    </row>
    <row r="5" spans="1:2" ht="28.8">
      <c r="A5" s="107" t="s">
        <v>1611</v>
      </c>
      <c r="B5" s="7">
        <f>(LEN(TRIM(A5))-LEN(SUBSTITUTE(A5," ","")))+1</f>
        <v>18</v>
      </c>
    </row>
    <row r="6" spans="1:2" ht="28.8">
      <c r="A6" s="107" t="s">
        <v>1612</v>
      </c>
      <c r="B6" s="7">
        <f>(LEN(TRIM(A6))-LEN(SUBSTITUTE(A6," ","")))+1</f>
        <v>10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6FF0-8D27-4274-8F61-04F1B3F5051D}">
  <sheetPr codeName="Sheet165"/>
  <dimension ref="A1:E11"/>
  <sheetViews>
    <sheetView workbookViewId="0"/>
  </sheetViews>
  <sheetFormatPr defaultRowHeight="14.4"/>
  <cols>
    <col min="1" max="1" width="18.5546875" bestFit="1" customWidth="1"/>
    <col min="2" max="2" width="14.6640625" bestFit="1" customWidth="1"/>
    <col min="4" max="4" width="14.109375" bestFit="1" customWidth="1"/>
    <col min="5" max="5" width="14.6640625" bestFit="1" customWidth="1"/>
  </cols>
  <sheetData>
    <row r="1" spans="1:5">
      <c r="A1" s="98" t="s">
        <v>0</v>
      </c>
      <c r="B1" s="98" t="s">
        <v>237</v>
      </c>
      <c r="D1" s="98" t="s">
        <v>0</v>
      </c>
      <c r="E1" s="98" t="s">
        <v>237</v>
      </c>
    </row>
    <row r="2" spans="1:5">
      <c r="A2" s="3" t="s">
        <v>1613</v>
      </c>
      <c r="B2" s="2" t="s">
        <v>1623</v>
      </c>
      <c r="D2" s="3" t="s">
        <v>1617</v>
      </c>
      <c r="E2" s="7" t="str">
        <f>SUBSTITUTE(SUBSTITUTE(VLOOKUP(D2,A1:B11,2,0),LEFT(VLOOKUP(D2,A1:B11,2,0),1),"("&amp;LEFT(VLOOKUP(D2,A1:B11,2,0),1)),"-",")",1)</f>
        <v>(608)202-9123</v>
      </c>
    </row>
    <row r="3" spans="1:5">
      <c r="A3" s="3" t="s">
        <v>1614</v>
      </c>
      <c r="B3" s="2" t="s">
        <v>1624</v>
      </c>
    </row>
    <row r="4" spans="1:5">
      <c r="A4" s="3" t="s">
        <v>1615</v>
      </c>
      <c r="B4" s="2" t="s">
        <v>1625</v>
      </c>
    </row>
    <row r="5" spans="1:5">
      <c r="A5" s="3" t="s">
        <v>1616</v>
      </c>
      <c r="B5" s="2" t="s">
        <v>1626</v>
      </c>
    </row>
    <row r="6" spans="1:5">
      <c r="A6" s="3" t="s">
        <v>1617</v>
      </c>
      <c r="B6" s="2" t="s">
        <v>1627</v>
      </c>
    </row>
    <row r="7" spans="1:5">
      <c r="A7" s="3" t="s">
        <v>1618</v>
      </c>
      <c r="B7" s="2" t="s">
        <v>1628</v>
      </c>
    </row>
    <row r="8" spans="1:5">
      <c r="A8" s="3" t="s">
        <v>1619</v>
      </c>
      <c r="B8" s="2" t="s">
        <v>1629</v>
      </c>
    </row>
    <row r="9" spans="1:5">
      <c r="A9" s="3" t="s">
        <v>1620</v>
      </c>
      <c r="B9" s="2" t="s">
        <v>1630</v>
      </c>
    </row>
    <row r="10" spans="1:5">
      <c r="A10" s="3" t="s">
        <v>1621</v>
      </c>
      <c r="B10" s="2" t="s">
        <v>1631</v>
      </c>
    </row>
    <row r="11" spans="1:5">
      <c r="A11" s="3" t="s">
        <v>1622</v>
      </c>
      <c r="B11" s="2" t="s">
        <v>1632</v>
      </c>
    </row>
  </sheetData>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0323-D3D7-4080-967D-BBBB45189D41}">
  <sheetPr codeName="Sheet166"/>
  <dimension ref="A1:C3"/>
  <sheetViews>
    <sheetView workbookViewId="0"/>
  </sheetViews>
  <sheetFormatPr defaultRowHeight="14.4"/>
  <cols>
    <col min="1" max="1" width="37.6640625" bestFit="1" customWidth="1"/>
    <col min="2" max="2" width="69.33203125" bestFit="1" customWidth="1"/>
    <col min="3" max="3" width="36.88671875" bestFit="1" customWidth="1"/>
  </cols>
  <sheetData>
    <row r="1" spans="1:3">
      <c r="A1" s="98" t="s">
        <v>1633</v>
      </c>
      <c r="B1" s="98" t="s">
        <v>1138</v>
      </c>
      <c r="C1" s="98" t="s">
        <v>1578</v>
      </c>
    </row>
    <row r="2" spans="1:3">
      <c r="A2" s="2" t="s">
        <v>1634</v>
      </c>
      <c r="B2" s="2" t="s">
        <v>1636</v>
      </c>
      <c r="C2" s="7" t="str">
        <f>SUBSTITUTE(A2," ","")</f>
        <v>Allthatglittersisnotgold.</v>
      </c>
    </row>
    <row r="3" spans="1:3">
      <c r="A3" s="2" t="s">
        <v>1635</v>
      </c>
      <c r="B3" s="2" t="s">
        <v>1637</v>
      </c>
      <c r="C3" s="7" t="str">
        <f>SUBSTITUTE(SUBSTITUTE(A3," ","",5)," ","",5)</f>
        <v>Be slow in choosing, butslowerin changing.</v>
      </c>
    </row>
  </sheetData>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4C2A-8781-4AF7-A095-978B4693ED54}">
  <sheetPr codeName="Sheet167"/>
  <dimension ref="A1:E6"/>
  <sheetViews>
    <sheetView workbookViewId="0">
      <selection activeCell="D2" sqref="D2"/>
    </sheetView>
  </sheetViews>
  <sheetFormatPr defaultRowHeight="14.4"/>
  <cols>
    <col min="1" max="1" width="9.44140625" bestFit="1" customWidth="1"/>
    <col min="2" max="2" width="22.109375" bestFit="1" customWidth="1"/>
    <col min="3" max="3" width="8.44140625" bestFit="1" customWidth="1"/>
    <col min="4" max="4" width="12" bestFit="1" customWidth="1"/>
    <col min="5" max="5" width="36" bestFit="1" customWidth="1"/>
  </cols>
  <sheetData>
    <row r="1" spans="1:5">
      <c r="A1" s="98" t="s">
        <v>1122</v>
      </c>
      <c r="B1" s="98" t="s">
        <v>1643</v>
      </c>
      <c r="C1" s="98" t="s">
        <v>1644</v>
      </c>
      <c r="D1" s="98" t="s">
        <v>1645</v>
      </c>
      <c r="E1" s="98" t="s">
        <v>1646</v>
      </c>
    </row>
    <row r="2" spans="1:5">
      <c r="A2" s="20">
        <v>44733</v>
      </c>
      <c r="B2" s="2">
        <v>4</v>
      </c>
      <c r="C2" s="2"/>
      <c r="D2" s="66">
        <f>WORKDAY(A2,B2)</f>
        <v>44739</v>
      </c>
      <c r="E2" s="55" t="s">
        <v>1647</v>
      </c>
    </row>
    <row r="3" spans="1:5">
      <c r="A3" s="20">
        <v>44735</v>
      </c>
      <c r="B3" s="2">
        <v>25</v>
      </c>
      <c r="C3" s="2"/>
      <c r="D3" s="66">
        <f>WORKDAY(A3,B3)</f>
        <v>44770</v>
      </c>
      <c r="E3" s="55" t="s">
        <v>1648</v>
      </c>
    </row>
    <row r="4" spans="1:5">
      <c r="A4" s="20">
        <v>44740</v>
      </c>
      <c r="B4" s="2">
        <v>10</v>
      </c>
      <c r="C4" s="2"/>
      <c r="D4" s="66">
        <f>WORKDAY(A4,B4)</f>
        <v>44754</v>
      </c>
      <c r="E4" s="55" t="s">
        <v>1649</v>
      </c>
    </row>
    <row r="5" spans="1:5">
      <c r="A5" s="20">
        <v>44743</v>
      </c>
      <c r="B5" s="2">
        <v>15</v>
      </c>
      <c r="C5" s="20">
        <v>44746</v>
      </c>
      <c r="D5" s="66">
        <f>WORKDAY(A5,B5,C5)</f>
        <v>44767</v>
      </c>
      <c r="E5" s="55" t="s">
        <v>1650</v>
      </c>
    </row>
    <row r="6" spans="1:5">
      <c r="A6" s="20">
        <v>44757</v>
      </c>
      <c r="B6" s="2">
        <v>-30</v>
      </c>
      <c r="C6" s="2"/>
      <c r="D6" s="66">
        <f>WORKDAY(A6,B6)</f>
        <v>44715</v>
      </c>
      <c r="E6" s="55" t="s">
        <v>1651</v>
      </c>
    </row>
  </sheetData>
  <pageMargins left="0.7" right="0.7" top="0.75" bottom="0.75" header="0.3" footer="0.3"/>
  <pageSetup orientation="portrait" r:id="rId1"/>
  <ignoredErrors>
    <ignoredError sqref="D5" formula="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A40E-9A1B-4DD8-B2A4-577A266AD486}">
  <sheetPr codeName="Sheet168"/>
  <dimension ref="A1:C8"/>
  <sheetViews>
    <sheetView workbookViewId="0">
      <selection activeCell="D2" sqref="D2"/>
    </sheetView>
  </sheetViews>
  <sheetFormatPr defaultRowHeight="14.4"/>
  <cols>
    <col min="1" max="1" width="29.6640625" bestFit="1" customWidth="1"/>
    <col min="2" max="3" width="10.44140625" bestFit="1" customWidth="1"/>
  </cols>
  <sheetData>
    <row r="1" spans="1:3">
      <c r="A1" s="98" t="s">
        <v>606</v>
      </c>
      <c r="B1" s="98" t="s">
        <v>1658</v>
      </c>
      <c r="C1" s="98" t="s">
        <v>1657</v>
      </c>
    </row>
    <row r="2" spans="1:3">
      <c r="A2" s="2" t="s">
        <v>1652</v>
      </c>
      <c r="B2" s="20">
        <v>44774</v>
      </c>
      <c r="C2" s="20">
        <v>44805</v>
      </c>
    </row>
    <row r="3" spans="1:3">
      <c r="A3" s="2" t="s">
        <v>1654</v>
      </c>
      <c r="B3" s="2">
        <v>-30</v>
      </c>
      <c r="C3" s="2">
        <v>60</v>
      </c>
    </row>
    <row r="4" spans="1:3">
      <c r="A4" s="2" t="s">
        <v>1655</v>
      </c>
      <c r="B4" s="20">
        <v>44746</v>
      </c>
      <c r="C4" s="20">
        <v>44809</v>
      </c>
    </row>
    <row r="5" spans="1:3">
      <c r="A5" s="2" t="s">
        <v>1656</v>
      </c>
      <c r="B5" s="20">
        <v>44731</v>
      </c>
      <c r="C5" s="20">
        <v>44876</v>
      </c>
    </row>
    <row r="6" spans="1:3">
      <c r="A6" s="2" t="s">
        <v>1659</v>
      </c>
      <c r="B6" s="2"/>
      <c r="C6" s="109">
        <v>44889</v>
      </c>
    </row>
    <row r="7" spans="1:3">
      <c r="A7" s="14"/>
      <c r="B7" s="14"/>
    </row>
    <row r="8" spans="1:3">
      <c r="A8" s="98" t="s">
        <v>1653</v>
      </c>
      <c r="B8" s="66">
        <f>WORKDAY(B2,B3,B4:B5)</f>
        <v>44729</v>
      </c>
      <c r="C8" s="66">
        <f>WORKDAY(C2,C3,C4:C6)</f>
        <v>44894</v>
      </c>
    </row>
  </sheetData>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E9EE-7419-47B6-967D-1337E71B6BED}">
  <sheetPr codeName="Sheet169"/>
  <dimension ref="A1:D8"/>
  <sheetViews>
    <sheetView workbookViewId="0">
      <selection activeCell="D2" sqref="D2"/>
    </sheetView>
  </sheetViews>
  <sheetFormatPr defaultRowHeight="14.4"/>
  <cols>
    <col min="1" max="1" width="13" bestFit="1" customWidth="1"/>
    <col min="2" max="2" width="10.5546875" bestFit="1" customWidth="1"/>
    <col min="4" max="4" width="9.44140625" bestFit="1" customWidth="1"/>
  </cols>
  <sheetData>
    <row r="1" spans="1:4">
      <c r="A1" s="98" t="s">
        <v>1660</v>
      </c>
      <c r="B1" s="98" t="s">
        <v>108</v>
      </c>
    </row>
    <row r="2" spans="1:4">
      <c r="A2" s="20">
        <v>44900</v>
      </c>
      <c r="B2" s="110">
        <f>A2</f>
        <v>44900</v>
      </c>
      <c r="D2" s="48"/>
    </row>
    <row r="3" spans="1:4">
      <c r="A3" s="66">
        <f t="shared" ref="A3:A8" si="0">WORKDAY(A2,1)</f>
        <v>44901</v>
      </c>
      <c r="B3" s="111">
        <f t="shared" ref="B3:B8" si="1">A3</f>
        <v>44901</v>
      </c>
    </row>
    <row r="4" spans="1:4">
      <c r="A4" s="66">
        <f t="shared" si="0"/>
        <v>44902</v>
      </c>
      <c r="B4" s="111">
        <f t="shared" si="1"/>
        <v>44902</v>
      </c>
    </row>
    <row r="5" spans="1:4">
      <c r="A5" s="66">
        <f t="shared" si="0"/>
        <v>44903</v>
      </c>
      <c r="B5" s="111">
        <f t="shared" si="1"/>
        <v>44903</v>
      </c>
    </row>
    <row r="6" spans="1:4">
      <c r="A6" s="66">
        <f t="shared" si="0"/>
        <v>44904</v>
      </c>
      <c r="B6" s="111">
        <f t="shared" si="1"/>
        <v>44904</v>
      </c>
    </row>
    <row r="7" spans="1:4">
      <c r="A7" s="66">
        <f t="shared" si="0"/>
        <v>44907</v>
      </c>
      <c r="B7" s="111">
        <f t="shared" si="1"/>
        <v>44907</v>
      </c>
    </row>
    <row r="8" spans="1:4">
      <c r="A8" s="66">
        <f t="shared" si="0"/>
        <v>44908</v>
      </c>
      <c r="B8" s="111">
        <f t="shared" si="1"/>
        <v>44908</v>
      </c>
    </row>
  </sheetData>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22E3-A66B-427E-9180-397C7F9A0EE9}">
  <sheetPr codeName="Sheet170"/>
  <dimension ref="A1:F6"/>
  <sheetViews>
    <sheetView workbookViewId="0">
      <selection activeCell="D2" sqref="D2"/>
    </sheetView>
  </sheetViews>
  <sheetFormatPr defaultRowHeight="14.4"/>
  <cols>
    <col min="1" max="1" width="10.44140625" bestFit="1" customWidth="1"/>
    <col min="2" max="2" width="18.88671875" bestFit="1" customWidth="1"/>
    <col min="5" max="5" width="11.109375" bestFit="1" customWidth="1"/>
    <col min="6" max="6" width="11.44140625" bestFit="1" customWidth="1"/>
  </cols>
  <sheetData>
    <row r="1" spans="1:6">
      <c r="A1" s="98" t="s">
        <v>670</v>
      </c>
      <c r="B1" s="98" t="s">
        <v>1661</v>
      </c>
      <c r="E1" s="383" t="s">
        <v>1662</v>
      </c>
      <c r="F1" s="384"/>
    </row>
    <row r="2" spans="1:6">
      <c r="A2" s="20">
        <v>44886</v>
      </c>
      <c r="B2" s="7" t="str">
        <f>IF(WORKDAY(A2-1,1,$E$3)=A2,"Working Day","Holiday")</f>
        <v>Working Day</v>
      </c>
      <c r="E2" s="98" t="s">
        <v>670</v>
      </c>
      <c r="F2" s="98" t="s">
        <v>1644</v>
      </c>
    </row>
    <row r="3" spans="1:6">
      <c r="A3" s="20">
        <v>44887</v>
      </c>
      <c r="B3" s="7" t="str">
        <f>IF(WORKDAY(A3-1,1,$E$3)=A3,"Working Day","Holiday")</f>
        <v>Working Day</v>
      </c>
      <c r="E3" s="20">
        <v>44889</v>
      </c>
      <c r="F3" s="2" t="s">
        <v>1663</v>
      </c>
    </row>
    <row r="4" spans="1:6">
      <c r="A4" s="20">
        <v>44888</v>
      </c>
      <c r="B4" s="7" t="str">
        <f>IF(WORKDAY(A4-1,1,$E$3)=A4,"Working Day","Holiday")</f>
        <v>Working Day</v>
      </c>
    </row>
    <row r="5" spans="1:6">
      <c r="A5" s="20">
        <v>44889</v>
      </c>
      <c r="B5" s="7" t="str">
        <f>IF(WORKDAY(A5-1,1,$E$3)=A5,"Working Day","Holiday")</f>
        <v>Holiday</v>
      </c>
    </row>
    <row r="6" spans="1:6">
      <c r="A6" s="20">
        <v>44890</v>
      </c>
      <c r="B6" s="7" t="str">
        <f>IF(WORKDAY(A6-1,1,$E$3)=A6,"Working Day","Holiday")</f>
        <v>Working Day</v>
      </c>
    </row>
  </sheetData>
  <mergeCells count="1">
    <mergeCell ref="E1:F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24DC-9677-44C7-8062-535086F7328D}">
  <sheetPr codeName="Sheet171"/>
  <dimension ref="A1:G10"/>
  <sheetViews>
    <sheetView workbookViewId="0">
      <selection activeCell="D2" sqref="D2"/>
    </sheetView>
  </sheetViews>
  <sheetFormatPr defaultRowHeight="14.4"/>
  <cols>
    <col min="1" max="1" width="17.44140625" bestFit="1" customWidth="1"/>
    <col min="2" max="2" width="23" bestFit="1" customWidth="1"/>
    <col min="3" max="3" width="16.5546875" bestFit="1" customWidth="1"/>
    <col min="5" max="5" width="23.109375" bestFit="1" customWidth="1"/>
    <col min="6" max="6" width="22.44140625" bestFit="1" customWidth="1"/>
    <col min="7" max="7" width="8.44140625" bestFit="1" customWidth="1"/>
  </cols>
  <sheetData>
    <row r="1" spans="1:7">
      <c r="A1" s="385" t="s">
        <v>1670</v>
      </c>
      <c r="B1" s="386"/>
      <c r="C1" s="386"/>
    </row>
    <row r="2" spans="1:7">
      <c r="A2" s="98" t="s">
        <v>1665</v>
      </c>
      <c r="B2" s="98" t="s">
        <v>1666</v>
      </c>
      <c r="C2" s="98" t="s">
        <v>1664</v>
      </c>
      <c r="E2" s="98" t="s">
        <v>1668</v>
      </c>
      <c r="F2" s="98" t="s">
        <v>1667</v>
      </c>
      <c r="G2" s="98" t="s">
        <v>1669</v>
      </c>
    </row>
    <row r="3" spans="1:7">
      <c r="A3" s="77">
        <v>44743.375</v>
      </c>
      <c r="B3" s="2">
        <v>9</v>
      </c>
      <c r="C3" s="78">
        <f>WORKDAY(A3,INT(B3/9)+IF(TIME(HOUR(A3),MINUTE(A3),SECOND(A3))+TIME(MOD(B3,9),MOD(MOD(B3,9),1)*60,0)&gt;$F$3,1,0),$G$3:$G$3)+IF(TIME(HOUR(A3),MINUTE(A3),SECOND(A3))+TIME(MOD(B3,9),MOD(MOD(B3,9),1)*60,0)&gt;$F$3,$E$3+TIME(HOUR(A3),MINUTE(A3),SECOND(A3))+TIME(MOD(B3,9),MOD(MOD(B3,9),1)*60,0)-$F$3,TIME(HOUR(A3),MINUTE(A3),SECOND(A3))+TIME(MOD(B3,9),MOD(MOD(B3,9),1)*60,0))</f>
        <v>44747.375</v>
      </c>
      <c r="E3" s="104">
        <v>0.375</v>
      </c>
      <c r="F3" s="104">
        <v>0.75</v>
      </c>
      <c r="G3" s="20">
        <v>44746</v>
      </c>
    </row>
    <row r="8" spans="1:7">
      <c r="E8" s="48"/>
    </row>
    <row r="10" spans="1:7">
      <c r="E10" s="48"/>
    </row>
  </sheetData>
  <mergeCells count="1">
    <mergeCell ref="A1:C1"/>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098-4429-4A69-AF36-54E02B1EA591}">
  <sheetPr codeName="Sheet172"/>
  <dimension ref="A1:D5"/>
  <sheetViews>
    <sheetView workbookViewId="0"/>
  </sheetViews>
  <sheetFormatPr defaultRowHeight="14.4"/>
  <cols>
    <col min="1" max="1" width="9.44140625" bestFit="1" customWidth="1"/>
    <col min="2" max="2" width="14.44140625" bestFit="1" customWidth="1"/>
    <col min="3" max="3" width="9.44140625" bestFit="1" customWidth="1"/>
    <col min="4" max="4" width="16.44140625" bestFit="1" customWidth="1"/>
  </cols>
  <sheetData>
    <row r="1" spans="1:4">
      <c r="A1" s="98" t="s">
        <v>1122</v>
      </c>
      <c r="B1" s="98" t="s">
        <v>1671</v>
      </c>
      <c r="C1" s="98" t="s">
        <v>1644</v>
      </c>
      <c r="D1" s="98" t="s">
        <v>1672</v>
      </c>
    </row>
    <row r="2" spans="1:4">
      <c r="A2" s="20">
        <v>44562</v>
      </c>
      <c r="B2" s="2">
        <v>30</v>
      </c>
      <c r="C2" s="20">
        <v>44578</v>
      </c>
      <c r="D2" s="66">
        <v>44606</v>
      </c>
    </row>
    <row r="3" spans="1:4">
      <c r="A3" s="20">
        <v>44593</v>
      </c>
      <c r="B3" s="2">
        <v>25</v>
      </c>
      <c r="C3" s="20">
        <v>44613</v>
      </c>
      <c r="D3" s="66">
        <v>44629</v>
      </c>
    </row>
    <row r="4" spans="1:4">
      <c r="A4" s="20">
        <v>44621</v>
      </c>
      <c r="B4" s="2">
        <v>-10</v>
      </c>
      <c r="C4" s="2"/>
      <c r="D4" s="66">
        <v>44607</v>
      </c>
    </row>
    <row r="5" spans="1:4">
      <c r="A5" s="20">
        <v>44652</v>
      </c>
      <c r="B5" s="2">
        <v>65</v>
      </c>
      <c r="C5" s="20">
        <v>44711</v>
      </c>
      <c r="D5" s="66">
        <v>44746</v>
      </c>
    </row>
  </sheetData>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D865-F089-4D66-ACAA-ABA0E4EA14D1}">
  <sheetPr codeName="Sheet173"/>
  <dimension ref="A1:D7"/>
  <sheetViews>
    <sheetView workbookViewId="0">
      <selection activeCell="C10" sqref="C10"/>
    </sheetView>
  </sheetViews>
  <sheetFormatPr defaultRowHeight="14.4"/>
  <cols>
    <col min="1" max="1" width="9.88671875" bestFit="1" customWidth="1"/>
    <col min="2" max="2" width="29.109375" bestFit="1" customWidth="1"/>
    <col min="3" max="3" width="23.109375" bestFit="1" customWidth="1"/>
    <col min="4" max="4" width="32" bestFit="1" customWidth="1"/>
  </cols>
  <sheetData>
    <row r="1" spans="1:4">
      <c r="A1" s="98" t="s">
        <v>153</v>
      </c>
      <c r="B1" s="98" t="s">
        <v>1675</v>
      </c>
      <c r="C1" s="98" t="s">
        <v>1674</v>
      </c>
      <c r="D1" s="98" t="s">
        <v>1171</v>
      </c>
    </row>
    <row r="2" spans="1:4">
      <c r="A2" s="2">
        <v>57</v>
      </c>
      <c r="B2" s="2">
        <v>5</v>
      </c>
      <c r="C2" s="7">
        <f t="shared" ref="C2:C7" si="0">MROUND(A2,B2)</f>
        <v>55</v>
      </c>
      <c r="D2" s="2" t="s">
        <v>1676</v>
      </c>
    </row>
    <row r="3" spans="1:4">
      <c r="A3" s="2">
        <v>19</v>
      </c>
      <c r="B3" s="2">
        <v>0.4</v>
      </c>
      <c r="C3" s="7">
        <f t="shared" si="0"/>
        <v>19.200000000000003</v>
      </c>
      <c r="D3" s="2" t="s">
        <v>1677</v>
      </c>
    </row>
    <row r="4" spans="1:4">
      <c r="A4" s="2">
        <v>525</v>
      </c>
      <c r="B4" s="2">
        <v>100</v>
      </c>
      <c r="C4" s="7">
        <f t="shared" si="0"/>
        <v>500</v>
      </c>
      <c r="D4" s="2" t="s">
        <v>1678</v>
      </c>
    </row>
    <row r="5" spans="1:4">
      <c r="A5" s="2">
        <v>34413.589</v>
      </c>
      <c r="B5" s="2">
        <v>1000</v>
      </c>
      <c r="C5" s="7">
        <f t="shared" si="0"/>
        <v>34000</v>
      </c>
      <c r="D5" s="2" t="s">
        <v>1679</v>
      </c>
    </row>
    <row r="6" spans="1:4">
      <c r="A6" s="2">
        <v>-230</v>
      </c>
      <c r="B6" s="2">
        <v>-30</v>
      </c>
      <c r="C6" s="7">
        <f t="shared" si="0"/>
        <v>-240</v>
      </c>
      <c r="D6" s="2" t="s">
        <v>1680</v>
      </c>
    </row>
    <row r="7" spans="1:4">
      <c r="A7" s="2">
        <v>-431</v>
      </c>
      <c r="B7" s="2">
        <v>-25</v>
      </c>
      <c r="C7" s="7">
        <f t="shared" si="0"/>
        <v>-425</v>
      </c>
      <c r="D7" s="2" t="s">
        <v>1681</v>
      </c>
    </row>
  </sheetData>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E164-6B75-4F46-9072-9A3DFA086905}">
  <sheetPr codeName="Sheet174"/>
  <dimension ref="A1:D11"/>
  <sheetViews>
    <sheetView workbookViewId="0">
      <selection activeCell="C10" sqref="C10"/>
    </sheetView>
  </sheetViews>
  <sheetFormatPr defaultRowHeight="14.4"/>
  <cols>
    <col min="1" max="1" width="14.5546875" bestFit="1" customWidth="1"/>
    <col min="2" max="2" width="17.44140625" customWidth="1"/>
    <col min="3" max="3" width="15.6640625" bestFit="1" customWidth="1"/>
  </cols>
  <sheetData>
    <row r="1" spans="1:4" ht="57.6">
      <c r="A1" s="1" t="s">
        <v>1682</v>
      </c>
      <c r="B1" s="8" t="s">
        <v>1675</v>
      </c>
      <c r="C1" s="8" t="s">
        <v>1697</v>
      </c>
    </row>
    <row r="2" spans="1:4">
      <c r="A2" s="2">
        <v>1</v>
      </c>
      <c r="B2" s="365">
        <v>5</v>
      </c>
      <c r="C2" s="7">
        <f>MROUND(A2,5)</f>
        <v>0</v>
      </c>
    </row>
    <row r="3" spans="1:4">
      <c r="A3" s="2">
        <v>2</v>
      </c>
      <c r="B3" s="366"/>
      <c r="C3" s="7">
        <f t="shared" ref="C3:C11" si="0">MROUND(A3,5)</f>
        <v>0</v>
      </c>
    </row>
    <row r="4" spans="1:4">
      <c r="A4" s="2">
        <v>3</v>
      </c>
      <c r="B4" s="366"/>
      <c r="C4" s="7">
        <f t="shared" si="0"/>
        <v>5</v>
      </c>
    </row>
    <row r="5" spans="1:4">
      <c r="A5" s="2">
        <v>4</v>
      </c>
      <c r="B5" s="366"/>
      <c r="C5" s="7">
        <f t="shared" si="0"/>
        <v>5</v>
      </c>
    </row>
    <row r="6" spans="1:4">
      <c r="A6" s="2">
        <v>5</v>
      </c>
      <c r="B6" s="366"/>
      <c r="C6" s="7">
        <f t="shared" si="0"/>
        <v>5</v>
      </c>
    </row>
    <row r="7" spans="1:4">
      <c r="A7" s="2">
        <v>6</v>
      </c>
      <c r="B7" s="366"/>
      <c r="C7" s="7">
        <f t="shared" si="0"/>
        <v>5</v>
      </c>
    </row>
    <row r="8" spans="1:4">
      <c r="A8" s="2">
        <v>7</v>
      </c>
      <c r="B8" s="366"/>
      <c r="C8" s="7">
        <f t="shared" si="0"/>
        <v>5</v>
      </c>
    </row>
    <row r="9" spans="1:4">
      <c r="A9" s="2">
        <v>8</v>
      </c>
      <c r="B9" s="366"/>
      <c r="C9" s="7">
        <f t="shared" si="0"/>
        <v>10</v>
      </c>
    </row>
    <row r="10" spans="1:4">
      <c r="A10" s="2">
        <v>9</v>
      </c>
      <c r="B10" s="366"/>
      <c r="C10" s="7">
        <f t="shared" si="0"/>
        <v>10</v>
      </c>
    </row>
    <row r="11" spans="1:4" ht="15.6">
      <c r="A11" s="2">
        <v>10</v>
      </c>
      <c r="B11" s="367"/>
      <c r="C11" s="7">
        <f t="shared" si="0"/>
        <v>10</v>
      </c>
      <c r="D11" s="54"/>
    </row>
  </sheetData>
  <mergeCells count="1">
    <mergeCell ref="B2:B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FF35-F01F-4AC3-B151-42DC817F39BD}">
  <sheetPr codeName="Sheet175"/>
  <dimension ref="A1:D6"/>
  <sheetViews>
    <sheetView workbookViewId="0">
      <selection activeCell="C10" sqref="C10"/>
    </sheetView>
  </sheetViews>
  <sheetFormatPr defaultRowHeight="14.4"/>
  <cols>
    <col min="1" max="1" width="11.33203125" bestFit="1" customWidth="1"/>
    <col min="2" max="2" width="16.33203125" bestFit="1" customWidth="1"/>
    <col min="3" max="3" width="12.5546875" bestFit="1" customWidth="1"/>
    <col min="4" max="4" width="20.6640625" bestFit="1" customWidth="1"/>
  </cols>
  <sheetData>
    <row r="1" spans="1:4">
      <c r="A1" s="98" t="s">
        <v>354</v>
      </c>
      <c r="B1" s="98" t="s">
        <v>1683</v>
      </c>
      <c r="C1" s="98" t="s">
        <v>1686</v>
      </c>
      <c r="D1" s="98" t="s">
        <v>1684</v>
      </c>
    </row>
    <row r="2" spans="1:4">
      <c r="A2" s="2" t="s">
        <v>340</v>
      </c>
      <c r="B2" s="2">
        <v>257</v>
      </c>
      <c r="C2" s="2">
        <v>10</v>
      </c>
      <c r="D2" s="7">
        <f>MROUND(B2,C2)</f>
        <v>260</v>
      </c>
    </row>
    <row r="3" spans="1:4">
      <c r="A3" s="2" t="s">
        <v>1685</v>
      </c>
      <c r="B3" s="2">
        <v>193</v>
      </c>
      <c r="C3" s="2">
        <v>15</v>
      </c>
      <c r="D3" s="7">
        <f>MROUND(B3,C3)</f>
        <v>195</v>
      </c>
    </row>
    <row r="4" spans="1:4">
      <c r="A4" s="2" t="s">
        <v>345</v>
      </c>
      <c r="B4" s="2">
        <v>284</v>
      </c>
      <c r="C4" s="2">
        <v>5</v>
      </c>
      <c r="D4" s="7">
        <f>MROUND(B4,C4)</f>
        <v>285</v>
      </c>
    </row>
    <row r="5" spans="1:4">
      <c r="A5" s="2" t="s">
        <v>346</v>
      </c>
      <c r="B5" s="2">
        <v>159</v>
      </c>
      <c r="C5" s="2">
        <v>12</v>
      </c>
      <c r="D5" s="7">
        <f>MROUND(B5,C5)</f>
        <v>156</v>
      </c>
    </row>
    <row r="6" spans="1:4">
      <c r="A6" s="2" t="s">
        <v>847</v>
      </c>
      <c r="B6" s="2">
        <v>148</v>
      </c>
      <c r="C6" s="2">
        <v>20</v>
      </c>
      <c r="D6" s="7">
        <f>MROUND(B6,C6)</f>
        <v>140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F6BE1-CBF1-4E85-A4D3-80985B85CC3B}">
  <sheetPr codeName="Sheet176"/>
  <dimension ref="A1:D6"/>
  <sheetViews>
    <sheetView workbookViewId="0">
      <selection activeCell="C10" sqref="C10"/>
    </sheetView>
  </sheetViews>
  <sheetFormatPr defaultRowHeight="14.4"/>
  <cols>
    <col min="1" max="1" width="20.109375" bestFit="1" customWidth="1"/>
    <col min="2" max="2" width="8.44140625" bestFit="1" customWidth="1"/>
    <col min="3" max="3" width="7.88671875" bestFit="1" customWidth="1"/>
    <col min="4" max="4" width="19.5546875" bestFit="1" customWidth="1"/>
  </cols>
  <sheetData>
    <row r="1" spans="1:4">
      <c r="A1" s="98" t="s">
        <v>1693</v>
      </c>
      <c r="B1" s="98" t="s">
        <v>136</v>
      </c>
      <c r="C1" s="98" t="s">
        <v>1673</v>
      </c>
      <c r="D1" s="98" t="s">
        <v>1688</v>
      </c>
    </row>
    <row r="2" spans="1:4">
      <c r="A2" s="2" t="s">
        <v>1687</v>
      </c>
      <c r="B2" s="2">
        <v>23.9</v>
      </c>
      <c r="C2" s="2">
        <v>0.4</v>
      </c>
      <c r="D2" s="7">
        <f>MROUND(B2,C2)</f>
        <v>24</v>
      </c>
    </row>
    <row r="3" spans="1:4">
      <c r="A3" s="2" t="s">
        <v>1689</v>
      </c>
      <c r="B3" s="2">
        <v>1500.23</v>
      </c>
      <c r="C3" s="2">
        <v>1500</v>
      </c>
      <c r="D3" s="7">
        <f>MROUND(B3,C3)</f>
        <v>1500</v>
      </c>
    </row>
    <row r="4" spans="1:4">
      <c r="A4" s="2" t="s">
        <v>1690</v>
      </c>
      <c r="B4" s="2">
        <v>4.49</v>
      </c>
      <c r="C4" s="2">
        <v>0.05</v>
      </c>
      <c r="D4" s="7">
        <f>MROUND(B4,C4)</f>
        <v>4.5</v>
      </c>
    </row>
    <row r="5" spans="1:4">
      <c r="A5" s="2" t="s">
        <v>1691</v>
      </c>
      <c r="B5" s="2">
        <v>32.39</v>
      </c>
      <c r="C5" s="2">
        <v>7</v>
      </c>
      <c r="D5" s="7">
        <f>MROUND(B5,C5)</f>
        <v>35</v>
      </c>
    </row>
    <row r="6" spans="1:4">
      <c r="A6" s="2" t="s">
        <v>1692</v>
      </c>
      <c r="B6" s="2">
        <v>8.99</v>
      </c>
      <c r="C6" s="2">
        <v>9</v>
      </c>
      <c r="D6" s="7">
        <f>MROUND(B6,C6)</f>
        <v>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512AD-D570-4F80-8294-E769EBA85BE3}">
  <sheetPr codeName="Sheet177"/>
  <dimension ref="A1:C6"/>
  <sheetViews>
    <sheetView workbookViewId="0">
      <selection activeCell="C10" sqref="C10"/>
    </sheetView>
  </sheetViews>
  <sheetFormatPr defaultRowHeight="14.4"/>
  <cols>
    <col min="1" max="1" width="11.33203125" bestFit="1" customWidth="1"/>
    <col min="2" max="2" width="17.109375" bestFit="1" customWidth="1"/>
    <col min="3" max="3" width="16.88671875" bestFit="1" customWidth="1"/>
  </cols>
  <sheetData>
    <row r="1" spans="1:3">
      <c r="A1" s="98" t="s">
        <v>305</v>
      </c>
      <c r="B1" s="98" t="s">
        <v>1694</v>
      </c>
      <c r="C1" s="98" t="s">
        <v>1698</v>
      </c>
    </row>
    <row r="2" spans="1:3">
      <c r="A2" s="50">
        <v>0.36180555555555555</v>
      </c>
      <c r="B2" s="112">
        <f>MROUND(A2,"0:15")</f>
        <v>0.36458333333333331</v>
      </c>
      <c r="C2" s="112">
        <f>MROUND(A2,"1:00")</f>
        <v>0.375</v>
      </c>
    </row>
    <row r="3" spans="1:3">
      <c r="A3" s="50">
        <v>0.2109375</v>
      </c>
      <c r="B3" s="112">
        <f>MROUND(A3,"0:15")</f>
        <v>0.20833333333333331</v>
      </c>
      <c r="C3" s="112">
        <f>MROUND(A3,"1:00")</f>
        <v>0.20833333333333331</v>
      </c>
    </row>
    <row r="4" spans="1:3">
      <c r="A4" s="50">
        <v>0.26619212962962963</v>
      </c>
      <c r="B4" s="112">
        <f>MROUND(A4,"0:15")</f>
        <v>0.27083333333333331</v>
      </c>
      <c r="C4" s="112">
        <f>MROUND(A4,"1:00")</f>
        <v>0.25</v>
      </c>
    </row>
    <row r="5" spans="1:3">
      <c r="A5" s="50">
        <v>0.81184027777777779</v>
      </c>
      <c r="B5" s="112">
        <f>MROUND(A5,"0:15")</f>
        <v>0.8125</v>
      </c>
      <c r="C5" s="112">
        <f>MROUND(A5,"1:00")</f>
        <v>0.79166666666666663</v>
      </c>
    </row>
    <row r="6" spans="1:3">
      <c r="A6" s="50">
        <v>0.98149305555555555</v>
      </c>
      <c r="B6" s="112">
        <f>MROUND(A6,"0:15")</f>
        <v>0.97916666666666663</v>
      </c>
      <c r="C6" s="112">
        <f>MROUND(A6,"1:00")</f>
        <v>1</v>
      </c>
    </row>
  </sheetData>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132E-E2C1-4B00-A0F6-552094156D8B}">
  <sheetPr codeName="Sheet178"/>
  <dimension ref="A1:C8"/>
  <sheetViews>
    <sheetView workbookViewId="0"/>
  </sheetViews>
  <sheetFormatPr defaultRowHeight="14.4"/>
  <cols>
    <col min="1" max="1" width="16" bestFit="1" customWidth="1"/>
    <col min="2" max="2" width="16" customWidth="1"/>
    <col min="3" max="3" width="24.88671875" bestFit="1" customWidth="1"/>
  </cols>
  <sheetData>
    <row r="1" spans="1:3">
      <c r="A1" s="98" t="s">
        <v>1695</v>
      </c>
      <c r="B1" s="98" t="s">
        <v>1673</v>
      </c>
      <c r="C1" s="98" t="s">
        <v>1696</v>
      </c>
    </row>
    <row r="2" spans="1:3">
      <c r="A2" s="2">
        <v>-62.2</v>
      </c>
      <c r="B2" s="2">
        <v>-2</v>
      </c>
      <c r="C2" s="7">
        <f>MROUND(A2,B2)</f>
        <v>-62</v>
      </c>
    </row>
    <row r="3" spans="1:3">
      <c r="A3" s="2">
        <v>-56.7</v>
      </c>
      <c r="B3" s="2">
        <v>-0.5</v>
      </c>
      <c r="C3" s="7">
        <f t="shared" ref="C3:C8" si="0">MROUND(A3,B3)</f>
        <v>-56.5</v>
      </c>
    </row>
    <row r="4" spans="1:3">
      <c r="A4" s="2">
        <v>-53.3</v>
      </c>
      <c r="B4" s="2">
        <v>-1.5</v>
      </c>
      <c r="C4" s="7">
        <f t="shared" si="0"/>
        <v>-54</v>
      </c>
    </row>
    <row r="5" spans="1:3">
      <c r="A5" s="2">
        <v>-50</v>
      </c>
      <c r="B5" s="2">
        <v>-10</v>
      </c>
      <c r="C5" s="7">
        <f t="shared" si="0"/>
        <v>-50</v>
      </c>
    </row>
    <row r="6" spans="1:3">
      <c r="A6" s="2">
        <v>-49.4</v>
      </c>
      <c r="B6" s="2">
        <v>-2.2000000000000002</v>
      </c>
      <c r="C6" s="7">
        <f t="shared" si="0"/>
        <v>-48.400000000000006</v>
      </c>
    </row>
    <row r="7" spans="1:3">
      <c r="A7" s="2">
        <v>-46.1</v>
      </c>
      <c r="B7" s="2">
        <v>-3.1</v>
      </c>
      <c r="C7" s="7">
        <f t="shared" si="0"/>
        <v>-46.5</v>
      </c>
    </row>
    <row r="8" spans="1:3">
      <c r="A8" s="2">
        <v>-45.9</v>
      </c>
      <c r="B8" s="2">
        <v>-3.92</v>
      </c>
      <c r="C8" s="7">
        <f t="shared" si="0"/>
        <v>-47.04</v>
      </c>
    </row>
  </sheetData>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B105-602B-46E1-83DA-09340BB6161F}">
  <sheetPr codeName="Sheet179"/>
  <dimension ref="A1:E9"/>
  <sheetViews>
    <sheetView workbookViewId="0">
      <selection activeCell="C13" sqref="C13"/>
    </sheetView>
  </sheetViews>
  <sheetFormatPr defaultRowHeight="14.4"/>
  <cols>
    <col min="1" max="1" width="7.88671875" bestFit="1" customWidth="1"/>
    <col min="3" max="3" width="51.33203125" bestFit="1" customWidth="1"/>
    <col min="4" max="4" width="13.44140625" customWidth="1"/>
    <col min="5" max="5" width="30.5546875" bestFit="1" customWidth="1"/>
  </cols>
  <sheetData>
    <row r="1" spans="1:5" ht="57.6">
      <c r="A1" s="1" t="s">
        <v>153</v>
      </c>
      <c r="B1" s="1" t="s">
        <v>1699</v>
      </c>
      <c r="C1" s="1" t="s">
        <v>622</v>
      </c>
      <c r="D1" s="8" t="s">
        <v>1700</v>
      </c>
      <c r="E1" s="1" t="s">
        <v>1711</v>
      </c>
    </row>
    <row r="2" spans="1:5">
      <c r="A2" s="2">
        <v>10</v>
      </c>
      <c r="B2" s="2">
        <v>2</v>
      </c>
      <c r="C2" s="2" t="s">
        <v>1703</v>
      </c>
      <c r="D2" s="7">
        <f t="shared" ref="D2:D7" si="0">POWER(A2,B2)</f>
        <v>100</v>
      </c>
      <c r="E2" s="65" t="s">
        <v>1705</v>
      </c>
    </row>
    <row r="3" spans="1:5">
      <c r="A3" s="2">
        <v>-24</v>
      </c>
      <c r="B3" s="2">
        <v>4</v>
      </c>
      <c r="C3" s="2" t="s">
        <v>1702</v>
      </c>
      <c r="D3" s="7">
        <f t="shared" si="0"/>
        <v>331776</v>
      </c>
      <c r="E3" s="65" t="s">
        <v>1706</v>
      </c>
    </row>
    <row r="4" spans="1:5">
      <c r="A4" s="2">
        <v>4.8</v>
      </c>
      <c r="B4" s="2">
        <v>3.2</v>
      </c>
      <c r="C4" s="2" t="s">
        <v>1701</v>
      </c>
      <c r="D4" s="7">
        <f t="shared" si="0"/>
        <v>151.34635278993866</v>
      </c>
      <c r="E4" s="65" t="s">
        <v>1707</v>
      </c>
    </row>
    <row r="5" spans="1:5">
      <c r="A5" s="2">
        <v>169</v>
      </c>
      <c r="B5" s="114">
        <v>0.5</v>
      </c>
      <c r="C5" s="2" t="s">
        <v>1704</v>
      </c>
      <c r="D5" s="7">
        <f t="shared" si="0"/>
        <v>13</v>
      </c>
      <c r="E5" s="65" t="s">
        <v>1708</v>
      </c>
    </row>
    <row r="6" spans="1:5">
      <c r="A6" s="2">
        <v>1953125</v>
      </c>
      <c r="B6" s="114">
        <v>0.33333333333333331</v>
      </c>
      <c r="C6" s="2" t="s">
        <v>1742</v>
      </c>
      <c r="D6" s="7">
        <f t="shared" si="0"/>
        <v>124.99999999999994</v>
      </c>
      <c r="E6" s="65" t="s">
        <v>1709</v>
      </c>
    </row>
    <row r="7" spans="1:5">
      <c r="A7" s="114">
        <v>0.1111111111111111</v>
      </c>
      <c r="B7" s="2">
        <v>-3</v>
      </c>
      <c r="C7" s="2" t="s">
        <v>1712</v>
      </c>
      <c r="D7" s="7">
        <f t="shared" si="0"/>
        <v>729</v>
      </c>
      <c r="E7" s="65" t="s">
        <v>1710</v>
      </c>
    </row>
    <row r="9" spans="1:5">
      <c r="B9" s="113"/>
    </row>
  </sheetData>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18F8-E7A5-4D81-A718-43850AFD9607}">
  <sheetPr codeName="Sheet180"/>
  <dimension ref="A1:C11"/>
  <sheetViews>
    <sheetView workbookViewId="0">
      <selection activeCell="C13" sqref="C13"/>
    </sheetView>
  </sheetViews>
  <sheetFormatPr defaultRowHeight="14.4"/>
  <cols>
    <col min="1" max="1" width="10.33203125" bestFit="1" customWidth="1"/>
    <col min="2" max="2" width="8.88671875" bestFit="1" customWidth="1"/>
    <col min="3" max="3" width="11.88671875" bestFit="1" customWidth="1"/>
  </cols>
  <sheetData>
    <row r="1" spans="1:3" ht="16.2">
      <c r="A1" s="1" t="s">
        <v>1714</v>
      </c>
      <c r="B1" s="1" t="s">
        <v>1713</v>
      </c>
      <c r="C1" s="1" t="s">
        <v>1715</v>
      </c>
    </row>
    <row r="2" spans="1:3">
      <c r="A2" s="2">
        <v>5</v>
      </c>
      <c r="B2" s="114">
        <v>0.33333333333333331</v>
      </c>
      <c r="C2" s="7">
        <f>POWER(A2,B2)</f>
        <v>1.7099759466766968</v>
      </c>
    </row>
    <row r="3" spans="1:3">
      <c r="A3" s="2">
        <v>10</v>
      </c>
      <c r="B3" s="2">
        <v>4</v>
      </c>
      <c r="C3" s="7">
        <f t="shared" ref="C3:C11" si="0">POWER(A3,B3)</f>
        <v>10000</v>
      </c>
    </row>
    <row r="4" spans="1:3">
      <c r="A4" s="2">
        <v>15</v>
      </c>
      <c r="B4" s="2">
        <v>2</v>
      </c>
      <c r="C4" s="7">
        <f t="shared" si="0"/>
        <v>225</v>
      </c>
    </row>
    <row r="5" spans="1:3">
      <c r="A5" s="2">
        <v>20</v>
      </c>
      <c r="B5" s="114">
        <v>0.25</v>
      </c>
      <c r="C5" s="7">
        <f t="shared" si="0"/>
        <v>2.1147425268811282</v>
      </c>
    </row>
    <row r="6" spans="1:3">
      <c r="A6" s="2">
        <v>25</v>
      </c>
      <c r="B6" s="114">
        <v>0.5</v>
      </c>
      <c r="C6" s="7">
        <f t="shared" si="0"/>
        <v>5</v>
      </c>
    </row>
    <row r="7" spans="1:3">
      <c r="A7" s="2">
        <v>30</v>
      </c>
      <c r="B7" s="2">
        <v>-1</v>
      </c>
      <c r="C7" s="7">
        <f t="shared" si="0"/>
        <v>3.3333333333333333E-2</v>
      </c>
    </row>
    <row r="8" spans="1:3">
      <c r="A8" s="2">
        <v>35</v>
      </c>
      <c r="B8" s="2">
        <v>2.5</v>
      </c>
      <c r="C8" s="7">
        <f t="shared" si="0"/>
        <v>7247.1977342970249</v>
      </c>
    </row>
    <row r="9" spans="1:3">
      <c r="A9" s="2">
        <v>40</v>
      </c>
      <c r="B9" s="2">
        <v>-2</v>
      </c>
      <c r="C9" s="7">
        <f t="shared" si="0"/>
        <v>6.2500000000000001E-4</v>
      </c>
    </row>
    <row r="10" spans="1:3">
      <c r="A10" s="2">
        <v>45</v>
      </c>
      <c r="B10" s="2">
        <v>1</v>
      </c>
      <c r="C10" s="7">
        <f t="shared" si="0"/>
        <v>45</v>
      </c>
    </row>
    <row r="11" spans="1:3">
      <c r="A11" s="2">
        <v>50</v>
      </c>
      <c r="B11" s="2">
        <v>3</v>
      </c>
      <c r="C11" s="7">
        <f t="shared" si="0"/>
        <v>125000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ED2E-43B7-4CB9-9091-ADB7B01D7159}">
  <sheetPr codeName="Sheet181"/>
  <dimension ref="B1:D9"/>
  <sheetViews>
    <sheetView workbookViewId="0">
      <selection activeCell="C13" sqref="C13"/>
    </sheetView>
  </sheetViews>
  <sheetFormatPr defaultRowHeight="14.4"/>
  <cols>
    <col min="2" max="2" width="20.88671875" bestFit="1" customWidth="1"/>
    <col min="3" max="3" width="14.88671875" bestFit="1" customWidth="1"/>
    <col min="4" max="4" width="11.88671875" bestFit="1" customWidth="1"/>
  </cols>
  <sheetData>
    <row r="1" spans="2:4">
      <c r="B1" s="379" t="s">
        <v>1716</v>
      </c>
      <c r="C1" s="380"/>
      <c r="D1" s="381"/>
    </row>
    <row r="2" spans="2:4">
      <c r="B2" s="92"/>
      <c r="D2" s="89"/>
    </row>
    <row r="3" spans="2:4">
      <c r="B3" s="1" t="s">
        <v>1717</v>
      </c>
      <c r="C3" s="1" t="s">
        <v>1718</v>
      </c>
      <c r="D3" s="1" t="s">
        <v>1727</v>
      </c>
    </row>
    <row r="4" spans="2:4">
      <c r="B4" s="2" t="s">
        <v>1723</v>
      </c>
      <c r="C4" s="2" t="s">
        <v>1719</v>
      </c>
      <c r="D4" s="53">
        <v>5000</v>
      </c>
    </row>
    <row r="5" spans="2:4">
      <c r="B5" s="2" t="s">
        <v>1724</v>
      </c>
      <c r="C5" s="2" t="s">
        <v>1720</v>
      </c>
      <c r="D5" s="2">
        <v>0.15</v>
      </c>
    </row>
    <row r="6" spans="2:4">
      <c r="B6" s="2" t="s">
        <v>1725</v>
      </c>
      <c r="C6" s="2" t="s">
        <v>1722</v>
      </c>
      <c r="D6" s="2">
        <v>5</v>
      </c>
    </row>
    <row r="7" spans="2:4">
      <c r="B7" s="2" t="s">
        <v>1726</v>
      </c>
      <c r="C7" s="2" t="s">
        <v>1721</v>
      </c>
      <c r="D7" s="2">
        <v>12</v>
      </c>
    </row>
    <row r="8" spans="2:4">
      <c r="B8" s="92"/>
      <c r="D8" s="89"/>
    </row>
    <row r="9" spans="2:4">
      <c r="B9" s="7" t="s">
        <v>1728</v>
      </c>
      <c r="C9" s="7" t="s">
        <v>758</v>
      </c>
      <c r="D9" s="67">
        <f>D4*POWER((1+(D5/D7)),(D7*D6))</f>
        <v>10535.906734756196</v>
      </c>
    </row>
  </sheetData>
  <mergeCells count="1">
    <mergeCell ref="B1:D1"/>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1D1B-0867-4EC5-ABB3-44C1D317B1EB}">
  <sheetPr codeName="Sheet182"/>
  <dimension ref="A1:C6"/>
  <sheetViews>
    <sheetView workbookViewId="0">
      <selection activeCell="C13" sqref="C13"/>
    </sheetView>
  </sheetViews>
  <sheetFormatPr defaultRowHeight="14.4"/>
  <cols>
    <col min="1" max="1" width="17.109375" bestFit="1" customWidth="1"/>
    <col min="2" max="3" width="8.6640625" customWidth="1"/>
  </cols>
  <sheetData>
    <row r="1" spans="1:3" ht="16.2">
      <c r="A1" s="1" t="s">
        <v>1729</v>
      </c>
      <c r="B1" s="1" t="s">
        <v>1731</v>
      </c>
      <c r="C1" s="1" t="s">
        <v>1730</v>
      </c>
    </row>
    <row r="2" spans="1:3" ht="16.2">
      <c r="A2" s="2" t="s">
        <v>1735</v>
      </c>
      <c r="B2" s="115">
        <f>((-4+POWER(POWER(4,2)-(4*1*(-5)),1/2)))/(2*1)</f>
        <v>1</v>
      </c>
      <c r="C2" s="7">
        <f>((-4-POWER(POWER(4,2)-(4*1*(-5)),1/2)))/(2*1)</f>
        <v>-5</v>
      </c>
    </row>
    <row r="3" spans="1:3" ht="16.2">
      <c r="A3" s="2" t="s">
        <v>1732</v>
      </c>
      <c r="B3" s="18">
        <f>((-(-5)+POWER(POWER((-5),2)-(4*2*3),1/2)))/(2*2)</f>
        <v>1.5</v>
      </c>
      <c r="C3" s="18">
        <f>((-(-5)-POWER(POWER((-5),2)-(4*2*3),1/2)))/(2*2)</f>
        <v>1</v>
      </c>
    </row>
    <row r="4" spans="1:3" ht="16.2">
      <c r="A4" s="2" t="s">
        <v>1733</v>
      </c>
      <c r="B4" s="18">
        <f>((-1+POWER(POWER(1,2)-(4*2*(-300)),1/2)))/(2*2)</f>
        <v>12</v>
      </c>
      <c r="C4" s="18">
        <f>((-1-POWER(POWER(1,2)-(4*2*(-300)),1/2)))/(2*2)</f>
        <v>-12.5</v>
      </c>
    </row>
    <row r="5" spans="1:3" ht="16.2">
      <c r="A5" s="2" t="s">
        <v>1734</v>
      </c>
      <c r="B5" s="18">
        <f>((-(-45)+POWER(POWER((-45),2)-(4*1*324),1/2)))/(2*1)</f>
        <v>36</v>
      </c>
      <c r="C5" s="18">
        <f>((-(-45)-POWER(POWER((-45),2)-(4*1*324),1/2)))/(2*1)</f>
        <v>9</v>
      </c>
    </row>
    <row r="6" spans="1:3" ht="16.2">
      <c r="A6" s="2" t="s">
        <v>1736</v>
      </c>
      <c r="B6" s="18">
        <f>((-(-5)+POWER(POWER((-5),2)-(4*1*(-14)),1/2)))/(2*1)</f>
        <v>7</v>
      </c>
      <c r="C6" s="18">
        <f>((-(-5)-POWER(POWER((-5),2)-(4*1*(-14)),1/2)))/(2*1)</f>
        <v>-2</v>
      </c>
    </row>
  </sheetData>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51D7-8C18-4875-BDD6-9FD123A1D789}">
  <sheetPr codeName="Sheet183"/>
  <dimension ref="A1:B11"/>
  <sheetViews>
    <sheetView workbookViewId="0">
      <selection activeCell="C13" sqref="C13"/>
    </sheetView>
  </sheetViews>
  <sheetFormatPr defaultRowHeight="14.4"/>
  <cols>
    <col min="1" max="1" width="12" bestFit="1" customWidth="1"/>
    <col min="2" max="2" width="6.88671875" bestFit="1" customWidth="1"/>
  </cols>
  <sheetData>
    <row r="1" spans="1:2">
      <c r="A1" s="1" t="s">
        <v>1737</v>
      </c>
      <c r="B1" s="1" t="s">
        <v>1738</v>
      </c>
    </row>
    <row r="2" spans="1:2">
      <c r="A2" s="2">
        <v>1</v>
      </c>
      <c r="B2" s="7">
        <f>IF(A2&lt;=5,POWER(A2,2),POWER(A2,3))</f>
        <v>1</v>
      </c>
    </row>
    <row r="3" spans="1:2">
      <c r="A3" s="2">
        <v>2</v>
      </c>
      <c r="B3" s="7">
        <f t="shared" ref="B3:B11" si="0">IF(A3&lt;=5,POWER(A3,2),POWER(A3,3))</f>
        <v>4</v>
      </c>
    </row>
    <row r="4" spans="1:2">
      <c r="A4" s="2">
        <v>3</v>
      </c>
      <c r="B4" s="7">
        <f t="shared" si="0"/>
        <v>9</v>
      </c>
    </row>
    <row r="5" spans="1:2">
      <c r="A5" s="2">
        <v>4</v>
      </c>
      <c r="B5" s="7">
        <f t="shared" si="0"/>
        <v>16</v>
      </c>
    </row>
    <row r="6" spans="1:2">
      <c r="A6" s="2">
        <v>5</v>
      </c>
      <c r="B6" s="7">
        <f t="shared" si="0"/>
        <v>25</v>
      </c>
    </row>
    <row r="7" spans="1:2">
      <c r="A7" s="2">
        <v>6</v>
      </c>
      <c r="B7" s="7">
        <f t="shared" si="0"/>
        <v>216</v>
      </c>
    </row>
    <row r="8" spans="1:2">
      <c r="A8" s="2">
        <v>7</v>
      </c>
      <c r="B8" s="7">
        <f t="shared" si="0"/>
        <v>343</v>
      </c>
    </row>
    <row r="9" spans="1:2">
      <c r="A9" s="2">
        <v>8</v>
      </c>
      <c r="B9" s="7">
        <f t="shared" si="0"/>
        <v>512</v>
      </c>
    </row>
    <row r="10" spans="1:2">
      <c r="A10" s="2">
        <v>9</v>
      </c>
      <c r="B10" s="7">
        <f t="shared" si="0"/>
        <v>729</v>
      </c>
    </row>
    <row r="11" spans="1:2">
      <c r="A11" s="2">
        <v>10</v>
      </c>
      <c r="B11" s="7">
        <f t="shared" si="0"/>
        <v>1000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1B4A-F77C-411A-81D9-7C4BE0AF926F}">
  <sheetPr codeName="Sheet184"/>
  <dimension ref="A1:E11"/>
  <sheetViews>
    <sheetView workbookViewId="0">
      <selection activeCell="C13" sqref="C13"/>
    </sheetView>
  </sheetViews>
  <sheetFormatPr defaultRowHeight="14.4"/>
  <cols>
    <col min="1" max="2" width="10.44140625" customWidth="1"/>
  </cols>
  <sheetData>
    <row r="1" spans="1:5">
      <c r="A1" s="1" t="s">
        <v>1740</v>
      </c>
      <c r="B1" s="1" t="s">
        <v>1739</v>
      </c>
      <c r="D1" s="1" t="s">
        <v>1741</v>
      </c>
      <c r="E1" s="2">
        <v>3</v>
      </c>
    </row>
    <row r="2" spans="1:5">
      <c r="A2" s="2">
        <v>10</v>
      </c>
      <c r="B2" s="7">
        <f>POWER(A2,$E$1)</f>
        <v>1000</v>
      </c>
    </row>
    <row r="3" spans="1:5">
      <c r="A3" s="2">
        <v>20</v>
      </c>
      <c r="B3" s="7">
        <f t="shared" ref="B3:B11" si="0">POWER(A3,$E$1)</f>
        <v>8000</v>
      </c>
    </row>
    <row r="4" spans="1:5">
      <c r="A4" s="2">
        <v>30</v>
      </c>
      <c r="B4" s="7">
        <f t="shared" si="0"/>
        <v>27000</v>
      </c>
    </row>
    <row r="5" spans="1:5">
      <c r="A5" s="2">
        <v>40</v>
      </c>
      <c r="B5" s="7">
        <f t="shared" si="0"/>
        <v>64000</v>
      </c>
    </row>
    <row r="6" spans="1:5">
      <c r="A6" s="2">
        <v>50</v>
      </c>
      <c r="B6" s="7">
        <f t="shared" si="0"/>
        <v>125000</v>
      </c>
    </row>
    <row r="7" spans="1:5">
      <c r="A7" s="2">
        <v>60</v>
      </c>
      <c r="B7" s="7">
        <f t="shared" si="0"/>
        <v>216000</v>
      </c>
    </row>
    <row r="8" spans="1:5">
      <c r="A8" s="2">
        <v>70</v>
      </c>
      <c r="B8" s="7">
        <f t="shared" si="0"/>
        <v>343000</v>
      </c>
    </row>
    <row r="9" spans="1:5">
      <c r="A9" s="2">
        <v>80</v>
      </c>
      <c r="B9" s="7">
        <f t="shared" si="0"/>
        <v>512000</v>
      </c>
    </row>
    <row r="10" spans="1:5">
      <c r="A10" s="2">
        <v>90</v>
      </c>
      <c r="B10" s="7">
        <f t="shared" si="0"/>
        <v>729000</v>
      </c>
    </row>
    <row r="11" spans="1:5">
      <c r="A11" s="2">
        <v>100</v>
      </c>
      <c r="B11" s="7">
        <f t="shared" si="0"/>
        <v>1000000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57CC-923C-4438-8EF2-B0BBF2B690A1}">
  <sheetPr codeName="Sheet185"/>
  <dimension ref="A1:C6"/>
  <sheetViews>
    <sheetView workbookViewId="0"/>
  </sheetViews>
  <sheetFormatPr defaultRowHeight="14.4"/>
  <cols>
    <col min="1" max="1" width="12" bestFit="1" customWidth="1"/>
    <col min="2" max="2" width="6.109375" bestFit="1" customWidth="1"/>
    <col min="3" max="3" width="11.88671875" customWidth="1"/>
  </cols>
  <sheetData>
    <row r="1" spans="1:3">
      <c r="A1" s="1" t="s">
        <v>1737</v>
      </c>
      <c r="B1" s="1" t="s">
        <v>1699</v>
      </c>
      <c r="C1" s="1" t="s">
        <v>1384</v>
      </c>
    </row>
    <row r="2" spans="1:3">
      <c r="A2" s="2">
        <v>30</v>
      </c>
      <c r="B2" s="2">
        <v>5</v>
      </c>
      <c r="C2" s="7">
        <v>24300000</v>
      </c>
    </row>
    <row r="3" spans="1:3">
      <c r="A3" s="2">
        <v>-4</v>
      </c>
      <c r="B3" s="2">
        <v>2</v>
      </c>
      <c r="C3" s="7">
        <v>16</v>
      </c>
    </row>
    <row r="4" spans="1:3">
      <c r="A4" s="2">
        <v>-10</v>
      </c>
      <c r="B4" s="2">
        <v>-3</v>
      </c>
      <c r="C4" s="7">
        <v>-1E-3</v>
      </c>
    </row>
    <row r="5" spans="1:3">
      <c r="A5" s="2">
        <v>4.5</v>
      </c>
      <c r="B5" s="2">
        <v>2.2999999999999998</v>
      </c>
      <c r="C5" s="7">
        <v>31.7971929089206</v>
      </c>
    </row>
    <row r="6" spans="1:3">
      <c r="A6" s="114">
        <v>0.4</v>
      </c>
      <c r="B6" s="114">
        <v>0.2</v>
      </c>
      <c r="C6" s="7">
        <v>0.83255320740187311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2AF-AD48-4BE0-9F5C-300C6B3074E3}">
  <sheetPr codeName="Sheet186"/>
  <dimension ref="A1:F10"/>
  <sheetViews>
    <sheetView workbookViewId="0">
      <selection activeCell="B15" sqref="B15"/>
    </sheetView>
  </sheetViews>
  <sheetFormatPr defaultRowHeight="14.4"/>
  <cols>
    <col min="1" max="1" width="14.109375" bestFit="1" customWidth="1"/>
    <col min="2" max="2" width="68.6640625" bestFit="1" customWidth="1"/>
    <col min="3" max="3" width="14.33203125" customWidth="1"/>
    <col min="4" max="4" width="33.109375" bestFit="1" customWidth="1"/>
  </cols>
  <sheetData>
    <row r="1" spans="1:6">
      <c r="A1" s="1" t="s">
        <v>606</v>
      </c>
      <c r="B1" s="1" t="s">
        <v>1750</v>
      </c>
      <c r="C1" s="1" t="s">
        <v>1384</v>
      </c>
      <c r="D1" s="25" t="s">
        <v>1570</v>
      </c>
    </row>
    <row r="2" spans="1:6">
      <c r="A2" s="2">
        <v>33</v>
      </c>
      <c r="B2" s="2" t="s">
        <v>1745</v>
      </c>
      <c r="C2" s="7" t="str">
        <f>CHAR(A2)</f>
        <v>!</v>
      </c>
      <c r="D2" s="65" t="s">
        <v>1751</v>
      </c>
    </row>
    <row r="3" spans="1:6">
      <c r="A3" s="2">
        <v>41</v>
      </c>
      <c r="B3" s="2" t="s">
        <v>1746</v>
      </c>
      <c r="C3" s="7" t="str">
        <f>CHAR(A3)</f>
        <v>)</v>
      </c>
      <c r="D3" s="65" t="s">
        <v>1752</v>
      </c>
    </row>
    <row r="4" spans="1:6">
      <c r="A4" s="2">
        <v>100</v>
      </c>
      <c r="B4" s="2" t="s">
        <v>1747</v>
      </c>
      <c r="C4" s="7" t="str">
        <f>CHAR(35)&amp;A4</f>
        <v>#100</v>
      </c>
      <c r="D4" s="65" t="s">
        <v>1753</v>
      </c>
    </row>
    <row r="5" spans="1:6">
      <c r="A5" s="2" t="s">
        <v>1743</v>
      </c>
      <c r="B5" s="2" t="s">
        <v>1748</v>
      </c>
      <c r="C5" s="7" t="str">
        <f>A5&amp;CHAR(153)</f>
        <v>Starbucks™</v>
      </c>
      <c r="D5" s="65" t="s">
        <v>1754</v>
      </c>
    </row>
    <row r="6" spans="1:6">
      <c r="A6" s="2" t="s">
        <v>351</v>
      </c>
      <c r="B6" s="365" t="s">
        <v>1749</v>
      </c>
      <c r="C6" s="387" t="str">
        <f>A6&amp;CHAR(10)&amp;A7</f>
        <v>Georgia
ZIP Code: 30006</v>
      </c>
      <c r="D6" s="389" t="s">
        <v>1755</v>
      </c>
    </row>
    <row r="7" spans="1:6">
      <c r="A7" s="2" t="s">
        <v>1744</v>
      </c>
      <c r="B7" s="367"/>
      <c r="C7" s="388"/>
      <c r="D7" s="390"/>
    </row>
    <row r="10" spans="1:6">
      <c r="F10" t="str">
        <f>CHAR(30)</f>
        <v>_x001E_</v>
      </c>
    </row>
  </sheetData>
  <mergeCells count="3">
    <mergeCell ref="B6:B7"/>
    <mergeCell ref="C6:C7"/>
    <mergeCell ref="D6:D7"/>
  </mergeCells>
  <pageMargins left="0.7" right="0.7" top="0.75" bottom="0.75" header="0.3" footer="0.3"/>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2ECA-0570-491E-8386-1845D54F5778}">
  <sheetPr codeName="Sheet187"/>
  <dimension ref="A1:E6"/>
  <sheetViews>
    <sheetView workbookViewId="0">
      <selection activeCell="B15" sqref="B15"/>
    </sheetView>
  </sheetViews>
  <sheetFormatPr defaultRowHeight="14.4"/>
  <cols>
    <col min="1" max="1" width="8.88671875" bestFit="1" customWidth="1"/>
    <col min="2" max="2" width="9.44140625" bestFit="1" customWidth="1"/>
    <col min="3" max="3" width="40.109375" bestFit="1" customWidth="1"/>
    <col min="4" max="4" width="40.109375" customWidth="1"/>
    <col min="5" max="5" width="19.44140625" bestFit="1" customWidth="1"/>
  </cols>
  <sheetData>
    <row r="1" spans="1:5">
      <c r="A1" s="1" t="s">
        <v>1756</v>
      </c>
      <c r="B1" s="1" t="s">
        <v>1757</v>
      </c>
      <c r="C1" s="1" t="s">
        <v>1758</v>
      </c>
      <c r="D1" s="1" t="s">
        <v>1768</v>
      </c>
      <c r="E1" s="1" t="s">
        <v>1759</v>
      </c>
    </row>
    <row r="2" spans="1:5">
      <c r="A2" s="2" t="s">
        <v>758</v>
      </c>
      <c r="B2" s="2" t="s">
        <v>1760</v>
      </c>
      <c r="C2" s="2" t="s">
        <v>1762</v>
      </c>
      <c r="D2" s="2">
        <v>45</v>
      </c>
      <c r="E2" s="7" t="str">
        <f>A2&amp;CHAR(D2)&amp;B2</f>
        <v>A-Z</v>
      </c>
    </row>
    <row r="3" spans="1:5">
      <c r="A3" s="2" t="s">
        <v>1769</v>
      </c>
      <c r="B3" s="2" t="s">
        <v>1761</v>
      </c>
      <c r="C3" s="2" t="s">
        <v>1763</v>
      </c>
      <c r="D3" s="2">
        <v>64</v>
      </c>
      <c r="E3" s="7" t="str">
        <f>A3&amp;CHAR(D3)&amp;B3</f>
        <v>james123@gmail.com</v>
      </c>
    </row>
    <row r="4" spans="1:5">
      <c r="A4" s="2">
        <v>3</v>
      </c>
      <c r="B4" s="2">
        <v>5</v>
      </c>
      <c r="C4" s="2" t="s">
        <v>1764</v>
      </c>
      <c r="D4" s="2">
        <v>94</v>
      </c>
      <c r="E4" s="7" t="str">
        <f>A4&amp;CHAR(D4)&amp;B4</f>
        <v>3^5</v>
      </c>
    </row>
    <row r="5" spans="1:5">
      <c r="A5" s="2">
        <v>100</v>
      </c>
      <c r="B5" s="2">
        <v>900</v>
      </c>
      <c r="C5" s="2" t="s">
        <v>1765</v>
      </c>
      <c r="D5" s="2">
        <v>47</v>
      </c>
      <c r="E5" s="7" t="str">
        <f>A5&amp;CHAR(D5)&amp;B5</f>
        <v>100/900</v>
      </c>
    </row>
    <row r="6" spans="1:5">
      <c r="A6" s="2" t="s">
        <v>1766</v>
      </c>
      <c r="B6" s="2" t="s">
        <v>653</v>
      </c>
      <c r="C6" s="2" t="s">
        <v>1767</v>
      </c>
      <c r="D6" s="2">
        <v>46</v>
      </c>
      <c r="E6" s="7" t="str">
        <f>A6&amp;CHAR(D6)&amp;B6</f>
        <v>stdio.h</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54D9-7277-41E1-810C-65B9DE430490}">
  <sheetPr codeName="Sheet188"/>
  <dimension ref="A1:D6"/>
  <sheetViews>
    <sheetView workbookViewId="0">
      <selection activeCell="B15" sqref="B15"/>
    </sheetView>
  </sheetViews>
  <sheetFormatPr defaultRowHeight="14.4"/>
  <cols>
    <col min="1" max="1" width="11.109375" bestFit="1" customWidth="1"/>
    <col min="2" max="2" width="41.44140625" customWidth="1"/>
    <col min="3" max="3" width="42.33203125" bestFit="1" customWidth="1"/>
    <col min="4" max="4" width="39.44140625" bestFit="1" customWidth="1"/>
  </cols>
  <sheetData>
    <row r="1" spans="1:4">
      <c r="A1" s="1" t="s">
        <v>606</v>
      </c>
      <c r="B1" s="1" t="s">
        <v>1727</v>
      </c>
      <c r="C1" s="1" t="s">
        <v>622</v>
      </c>
      <c r="D1" s="1" t="s">
        <v>1384</v>
      </c>
    </row>
    <row r="2" spans="1:4">
      <c r="A2" s="2" t="s">
        <v>1799</v>
      </c>
      <c r="B2" s="2" t="s">
        <v>1805</v>
      </c>
      <c r="C2" s="2" t="s">
        <v>1800</v>
      </c>
      <c r="D2" s="7" t="str">
        <f>CHAR(149)&amp;" "&amp;B2</f>
        <v>• A CHAR() Example</v>
      </c>
    </row>
    <row r="3" spans="1:4">
      <c r="A3" s="2" t="s">
        <v>1797</v>
      </c>
      <c r="B3" s="2" t="s">
        <v>1806</v>
      </c>
      <c r="C3" s="2" t="s">
        <v>1801</v>
      </c>
      <c r="D3" s="18" t="str">
        <f>CHAR(167)&amp;" "&amp;B3</f>
        <v>§ Inserting Special Characters Using CHAR()</v>
      </c>
    </row>
    <row r="4" spans="1:4" ht="43.2">
      <c r="A4" s="45" t="s">
        <v>1798</v>
      </c>
      <c r="B4" s="107" t="s">
        <v>1807</v>
      </c>
      <c r="C4" s="45" t="s">
        <v>1802</v>
      </c>
      <c r="D4" s="117" t="str">
        <f>B4&amp;CHAR(46)</f>
        <v>You can insert the required character using the CHAR function. It requires the character code that specifies the required character.</v>
      </c>
    </row>
    <row r="5" spans="1:4">
      <c r="A5" s="2" t="s">
        <v>153</v>
      </c>
      <c r="B5" s="2">
        <v>10</v>
      </c>
      <c r="C5" s="2" t="s">
        <v>1803</v>
      </c>
      <c r="D5" s="18" t="str">
        <f>CHAR(35)&amp;B5</f>
        <v>#10</v>
      </c>
    </row>
    <row r="6" spans="1:4">
      <c r="A6" s="2" t="s">
        <v>20</v>
      </c>
      <c r="B6" s="2">
        <v>150.54</v>
      </c>
      <c r="C6" s="2" t="s">
        <v>1804</v>
      </c>
      <c r="D6" s="18" t="str">
        <f>CHAR(36)&amp;B6</f>
        <v>$150.54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D026E-8A33-4578-8B52-4A7092EED0CE}">
  <sheetPr codeName="Sheet189"/>
  <dimension ref="A1:F6"/>
  <sheetViews>
    <sheetView zoomScale="90" zoomScaleNormal="90" workbookViewId="0">
      <selection activeCell="B15" sqref="B15"/>
    </sheetView>
  </sheetViews>
  <sheetFormatPr defaultRowHeight="14.4"/>
  <cols>
    <col min="1" max="1" width="15.88671875" bestFit="1" customWidth="1"/>
    <col min="2" max="2" width="20.33203125" bestFit="1" customWidth="1"/>
    <col min="3" max="3" width="9.88671875" bestFit="1" customWidth="1"/>
    <col min="4" max="4" width="9.109375" bestFit="1" customWidth="1"/>
    <col min="5" max="5" width="8" bestFit="1" customWidth="1"/>
    <col min="6" max="6" width="44.5546875" bestFit="1" customWidth="1"/>
  </cols>
  <sheetData>
    <row r="1" spans="1:6">
      <c r="A1" s="1" t="s">
        <v>1779</v>
      </c>
      <c r="B1" s="1" t="s">
        <v>1775</v>
      </c>
      <c r="C1" s="1" t="s">
        <v>1776</v>
      </c>
      <c r="D1" s="1" t="s">
        <v>352</v>
      </c>
      <c r="E1" s="1" t="s">
        <v>1089</v>
      </c>
      <c r="F1" s="25" t="s">
        <v>1788</v>
      </c>
    </row>
    <row r="2" spans="1:6" ht="57.6">
      <c r="A2" s="3" t="s">
        <v>1770</v>
      </c>
      <c r="B2" s="3" t="s">
        <v>1777</v>
      </c>
      <c r="C2" s="3" t="s">
        <v>1778</v>
      </c>
      <c r="D2" s="3" t="s">
        <v>347</v>
      </c>
      <c r="E2" s="3">
        <v>91763</v>
      </c>
      <c r="F2" s="116" t="str">
        <f>B2&amp;CHAR(10)&amp;C2&amp;CHAR(10)&amp;D2&amp;CHAR(10)&amp;E2</f>
        <v>4781 Canoga St #APT 4
Montclair
California
91763</v>
      </c>
    </row>
    <row r="3" spans="1:6" ht="57.6">
      <c r="A3" s="3" t="s">
        <v>1771</v>
      </c>
      <c r="B3" s="3" t="s">
        <v>1780</v>
      </c>
      <c r="C3" s="3" t="s">
        <v>1781</v>
      </c>
      <c r="D3" s="3" t="s">
        <v>347</v>
      </c>
      <c r="E3" s="3">
        <v>93021</v>
      </c>
      <c r="F3" s="116" t="str">
        <f>B3&amp;CHAR(10)&amp;C3&amp;CHAR(10)&amp;D3&amp;CHAR(10)&amp;E3</f>
        <v>4564 N Isle Royale St
Moorpark
California
93021</v>
      </c>
    </row>
    <row r="4" spans="1:6" ht="57.6">
      <c r="A4" s="3" t="s">
        <v>1772</v>
      </c>
      <c r="B4" s="3" t="s">
        <v>1782</v>
      </c>
      <c r="C4" s="3" t="s">
        <v>1783</v>
      </c>
      <c r="D4" s="3" t="s">
        <v>347</v>
      </c>
      <c r="E4" s="3">
        <v>93003</v>
      </c>
      <c r="F4" s="116" t="str">
        <f>B4&amp;CHAR(10)&amp;C4&amp;CHAR(10)&amp;D4&amp;CHAR(10)&amp;E4</f>
        <v>477 S Borchard Dr
Ventura
California
93003</v>
      </c>
    </row>
    <row r="5" spans="1:6" ht="57.6">
      <c r="A5" s="3" t="s">
        <v>1773</v>
      </c>
      <c r="B5" s="3" t="s">
        <v>1784</v>
      </c>
      <c r="C5" s="3" t="s">
        <v>1785</v>
      </c>
      <c r="D5" s="3" t="s">
        <v>347</v>
      </c>
      <c r="E5" s="3">
        <v>95765</v>
      </c>
      <c r="F5" s="116" t="str">
        <f>B5&amp;CHAR(10)&amp;C5&amp;CHAR(10)&amp;D5&amp;CHAR(10)&amp;E5</f>
        <v>4563 Scenic Dr
Rocklin
California
95765</v>
      </c>
    </row>
    <row r="6" spans="1:6" ht="57.6">
      <c r="A6" s="3" t="s">
        <v>1774</v>
      </c>
      <c r="B6" s="3" t="s">
        <v>1786</v>
      </c>
      <c r="C6" s="3" t="s">
        <v>1787</v>
      </c>
      <c r="D6" s="3" t="s">
        <v>347</v>
      </c>
      <c r="E6" s="3">
        <v>95062</v>
      </c>
      <c r="F6" s="116" t="str">
        <f>B6&amp;CHAR(10)&amp;C6&amp;CHAR(10)&amp;D6&amp;CHAR(10)&amp;E6</f>
        <v>1071 41st Ave #6300
Santa Cruz
California
95062</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4F3A-EDD0-49E7-BF7D-E02C549D1539}">
  <sheetPr codeName="Sheet190"/>
  <dimension ref="A1:B7"/>
  <sheetViews>
    <sheetView workbookViewId="0">
      <selection activeCell="B15" sqref="B15"/>
    </sheetView>
  </sheetViews>
  <sheetFormatPr defaultRowHeight="14.4"/>
  <cols>
    <col min="1" max="2" width="22.88671875" bestFit="1" customWidth="1"/>
  </cols>
  <sheetData>
    <row r="1" spans="1:2">
      <c r="A1" s="1" t="s">
        <v>1795</v>
      </c>
      <c r="B1" s="1" t="s">
        <v>1796</v>
      </c>
    </row>
    <row r="2" spans="1:2">
      <c r="A2" s="2" t="s">
        <v>1789</v>
      </c>
      <c r="B2" s="7" t="str">
        <f t="shared" ref="B2:B7" si="0">SUBSTITUTE(A2,CHAR(CODE("-")),"")</f>
        <v>6692428209</v>
      </c>
    </row>
    <row r="3" spans="1:2">
      <c r="A3" s="2" t="s">
        <v>1790</v>
      </c>
      <c r="B3" s="7" t="str">
        <f t="shared" si="0"/>
        <v>4198223887</v>
      </c>
    </row>
    <row r="4" spans="1:2">
      <c r="A4" s="2" t="s">
        <v>1791</v>
      </c>
      <c r="B4" s="7" t="str">
        <f t="shared" si="0"/>
        <v>3122481633</v>
      </c>
    </row>
    <row r="5" spans="1:2">
      <c r="A5" s="2" t="s">
        <v>1792</v>
      </c>
      <c r="B5" s="7" t="str">
        <f t="shared" si="0"/>
        <v>5097424283</v>
      </c>
    </row>
    <row r="6" spans="1:2">
      <c r="A6" s="2" t="s">
        <v>1793</v>
      </c>
      <c r="B6" s="7" t="str">
        <f t="shared" si="0"/>
        <v>6514349793</v>
      </c>
    </row>
    <row r="7" spans="1:2">
      <c r="A7" s="2" t="s">
        <v>1794</v>
      </c>
      <c r="B7" s="7" t="str">
        <f t="shared" si="0"/>
        <v>3183366744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3CB-E563-4141-B6F4-DC31034445B3}">
  <sheetPr codeName="Sheet191"/>
  <dimension ref="A1:C6"/>
  <sheetViews>
    <sheetView workbookViewId="0">
      <selection activeCell="B15" sqref="B15"/>
    </sheetView>
  </sheetViews>
  <sheetFormatPr defaultRowHeight="14.4"/>
  <cols>
    <col min="1" max="1" width="9.88671875" bestFit="1" customWidth="1"/>
    <col min="2" max="2" width="13.88671875" bestFit="1" customWidth="1"/>
    <col min="3" max="3" width="17.5546875" bestFit="1" customWidth="1"/>
  </cols>
  <sheetData>
    <row r="1" spans="1:3">
      <c r="A1" s="1" t="s">
        <v>1813</v>
      </c>
      <c r="B1" s="1" t="s">
        <v>1808</v>
      </c>
      <c r="C1" s="1" t="s">
        <v>1809</v>
      </c>
    </row>
    <row r="2" spans="1:3">
      <c r="A2" s="2" t="s">
        <v>758</v>
      </c>
      <c r="B2" s="7">
        <f>CODE(A2)</f>
        <v>65</v>
      </c>
      <c r="C2" s="7" t="str">
        <f>CHAR(B2)</f>
        <v>A</v>
      </c>
    </row>
    <row r="3" spans="1:3">
      <c r="A3" s="2" t="s">
        <v>760</v>
      </c>
      <c r="B3" s="7">
        <f>CODE(A3)</f>
        <v>66</v>
      </c>
      <c r="C3" s="7" t="str">
        <f>CHAR(B3)</f>
        <v>B</v>
      </c>
    </row>
    <row r="4" spans="1:3">
      <c r="A4" s="2" t="s">
        <v>762</v>
      </c>
      <c r="B4" s="7">
        <f>CODE(A4)</f>
        <v>67</v>
      </c>
      <c r="C4" s="7" t="str">
        <f>CHAR(B4)</f>
        <v>C</v>
      </c>
    </row>
    <row r="5" spans="1:3">
      <c r="A5" s="2" t="s">
        <v>765</v>
      </c>
      <c r="B5" s="7">
        <f>CODE(A5)</f>
        <v>68</v>
      </c>
      <c r="C5" s="7" t="str">
        <f>CHAR(B5)</f>
        <v>D</v>
      </c>
    </row>
    <row r="6" spans="1:3">
      <c r="A6" s="2" t="s">
        <v>767</v>
      </c>
      <c r="B6" s="7">
        <f>CODE(A6)</f>
        <v>69</v>
      </c>
      <c r="C6" s="7" t="str">
        <f>CHAR(B6)</f>
        <v>E</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1044-6537-4A5C-86F8-2C1462528A1E}">
  <sheetPr codeName="Sheet192"/>
  <dimension ref="A1:B4"/>
  <sheetViews>
    <sheetView workbookViewId="0"/>
  </sheetViews>
  <sheetFormatPr defaultRowHeight="14.4"/>
  <cols>
    <col min="1" max="1" width="32.109375" bestFit="1" customWidth="1"/>
    <col min="2" max="2" width="24.88671875" bestFit="1" customWidth="1"/>
  </cols>
  <sheetData>
    <row r="1" spans="1:2">
      <c r="A1" s="1" t="s">
        <v>1814</v>
      </c>
      <c r="B1" s="1" t="s">
        <v>1815</v>
      </c>
    </row>
    <row r="2" spans="1:2">
      <c r="A2" s="2" t="s">
        <v>1811</v>
      </c>
      <c r="B2" s="7" t="str">
        <f>TRIM(SUBSTITUTE(A2,CHAR(160),""))</f>
        <v>Green Bay, Wisconsin- 54229</v>
      </c>
    </row>
    <row r="3" spans="1:2">
      <c r="A3" s="2" t="s">
        <v>1810</v>
      </c>
      <c r="B3" s="7" t="str">
        <f>TRIM(SUBSTITUTE(A3,CHAR(160),""))</f>
        <v>Atlanta, Georgia- 30301</v>
      </c>
    </row>
    <row r="4" spans="1:2">
      <c r="A4" s="2" t="s">
        <v>1812</v>
      </c>
      <c r="B4" s="7" t="str">
        <f>TRIM(SUBSTITUTE(A4,CHAR(160),""))</f>
        <v>Lubbock, Texas- 79382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BE34-14F9-4E00-BACF-1F7A03E4173F}">
  <sheetPr codeName="Sheet193"/>
  <dimension ref="A1:C4"/>
  <sheetViews>
    <sheetView workbookViewId="0">
      <selection activeCell="A16" sqref="A16"/>
    </sheetView>
  </sheetViews>
  <sheetFormatPr defaultRowHeight="14.4"/>
  <cols>
    <col min="1" max="1" width="56" bestFit="1" customWidth="1"/>
    <col min="2" max="2" width="21.109375" bestFit="1" customWidth="1"/>
    <col min="3" max="3" width="33.88671875" bestFit="1" customWidth="1"/>
  </cols>
  <sheetData>
    <row r="1" spans="1:3">
      <c r="A1" s="1" t="s">
        <v>622</v>
      </c>
      <c r="B1" s="1" t="s">
        <v>1816</v>
      </c>
      <c r="C1" s="1" t="s">
        <v>1145</v>
      </c>
    </row>
    <row r="2" spans="1:3">
      <c r="A2" s="2" t="s">
        <v>1818</v>
      </c>
      <c r="B2" s="7">
        <f>COLUMN()</f>
        <v>2</v>
      </c>
      <c r="C2" s="65" t="s">
        <v>1820</v>
      </c>
    </row>
    <row r="3" spans="1:3">
      <c r="A3" s="2" t="s">
        <v>1819</v>
      </c>
      <c r="B3" s="7">
        <f>COLUMN(X20)</f>
        <v>24</v>
      </c>
      <c r="C3" s="65" t="s">
        <v>1821</v>
      </c>
    </row>
    <row r="4" spans="1:3">
      <c r="A4" s="2" t="s">
        <v>1817</v>
      </c>
      <c r="B4" s="7">
        <f>COLUMN(L45:M80)</f>
        <v>12</v>
      </c>
      <c r="C4" s="65" t="s">
        <v>1822</v>
      </c>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D8A1-53CD-4AC1-976C-2A034DAEFC74}">
  <sheetPr codeName="Sheet194"/>
  <dimension ref="A1:H6"/>
  <sheetViews>
    <sheetView workbookViewId="0">
      <selection activeCell="A16" sqref="A16"/>
    </sheetView>
  </sheetViews>
  <sheetFormatPr defaultRowHeight="14.4"/>
  <cols>
    <col min="1" max="1" width="14.109375" bestFit="1" customWidth="1"/>
    <col min="2" max="2" width="8.44140625" bestFit="1" customWidth="1"/>
    <col min="3" max="3" width="8.109375" bestFit="1" customWidth="1"/>
    <col min="5" max="5" width="67" bestFit="1" customWidth="1"/>
    <col min="6" max="6" width="9.109375" customWidth="1"/>
  </cols>
  <sheetData>
    <row r="1" spans="1:8">
      <c r="A1" s="1" t="s">
        <v>533</v>
      </c>
      <c r="B1" s="1" t="s">
        <v>136</v>
      </c>
      <c r="C1" s="1" t="s">
        <v>357</v>
      </c>
      <c r="E1" s="1" t="s">
        <v>1138</v>
      </c>
      <c r="F1" s="374" t="s">
        <v>1816</v>
      </c>
      <c r="G1" s="370"/>
      <c r="H1" s="370"/>
    </row>
    <row r="2" spans="1:8">
      <c r="A2" s="2" t="s">
        <v>545</v>
      </c>
      <c r="B2" s="2">
        <v>5.97</v>
      </c>
      <c r="C2" s="2">
        <v>2</v>
      </c>
      <c r="E2" s="2" t="s">
        <v>1826</v>
      </c>
      <c r="F2" s="7">
        <f>COLUMN()</f>
        <v>6</v>
      </c>
      <c r="G2" s="118"/>
      <c r="H2" s="119"/>
    </row>
    <row r="3" spans="1:8">
      <c r="A3" s="2" t="s">
        <v>548</v>
      </c>
      <c r="B3" s="2">
        <v>2.48</v>
      </c>
      <c r="C3" s="2">
        <v>5</v>
      </c>
      <c r="E3" s="2" t="s">
        <v>1827</v>
      </c>
      <c r="F3" s="7">
        <f>COLUMN(A5)</f>
        <v>1</v>
      </c>
      <c r="G3" s="92"/>
      <c r="H3" s="89"/>
    </row>
    <row r="4" spans="1:8">
      <c r="A4" s="2" t="s">
        <v>1823</v>
      </c>
      <c r="B4" s="2">
        <v>10</v>
      </c>
      <c r="C4" s="2">
        <v>4</v>
      </c>
      <c r="E4" s="2" t="s">
        <v>1828</v>
      </c>
      <c r="F4" s="7">
        <f>COLUMN(A4:B5)</f>
        <v>1</v>
      </c>
      <c r="G4" s="93"/>
      <c r="H4" s="120"/>
    </row>
    <row r="5" spans="1:8">
      <c r="A5" s="2" t="s">
        <v>1824</v>
      </c>
      <c r="B5" s="2">
        <v>7</v>
      </c>
      <c r="C5" s="2">
        <v>3</v>
      </c>
      <c r="E5" s="2" t="s">
        <v>1829</v>
      </c>
      <c r="F5" s="7">
        <f t="array" ref="F5:H5">COLUMN(A5:C6)</f>
        <v>1</v>
      </c>
      <c r="G5" s="7">
        <v>2</v>
      </c>
      <c r="H5" s="7">
        <v>3</v>
      </c>
    </row>
    <row r="6" spans="1:8">
      <c r="A6" s="2" t="s">
        <v>1825</v>
      </c>
      <c r="B6" s="2">
        <v>2.36</v>
      </c>
      <c r="C6" s="2">
        <v>10</v>
      </c>
    </row>
  </sheetData>
  <mergeCells count="1">
    <mergeCell ref="F1:H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A6310-C4BC-4F7F-9118-800A095592AA}">
  <sheetPr codeName="Sheet195"/>
  <dimension ref="A1:M6"/>
  <sheetViews>
    <sheetView workbookViewId="0">
      <selection activeCell="A16" sqref="A16"/>
    </sheetView>
  </sheetViews>
  <sheetFormatPr defaultRowHeight="14.4"/>
  <cols>
    <col min="1" max="1" width="31.109375" bestFit="1" customWidth="1"/>
    <col min="2" max="13" width="9.44140625" customWidth="1"/>
  </cols>
  <sheetData>
    <row r="1" spans="1:13">
      <c r="A1" s="1" t="s">
        <v>32</v>
      </c>
      <c r="B1" s="2" t="s">
        <v>47</v>
      </c>
      <c r="C1" s="2" t="s">
        <v>48</v>
      </c>
      <c r="D1" s="2" t="s">
        <v>49</v>
      </c>
      <c r="E1" s="2" t="s">
        <v>50</v>
      </c>
      <c r="F1" s="2" t="s">
        <v>51</v>
      </c>
      <c r="G1" s="2" t="s">
        <v>52</v>
      </c>
      <c r="H1" s="2" t="s">
        <v>53</v>
      </c>
      <c r="I1" s="2" t="s">
        <v>54</v>
      </c>
      <c r="J1" s="2" t="s">
        <v>55</v>
      </c>
      <c r="K1" s="2" t="s">
        <v>56</v>
      </c>
      <c r="L1" s="2" t="s">
        <v>57</v>
      </c>
      <c r="M1" s="2" t="s">
        <v>58</v>
      </c>
    </row>
    <row r="2" spans="1:13">
      <c r="A2" s="1" t="s">
        <v>858</v>
      </c>
      <c r="B2" s="2">
        <v>500</v>
      </c>
      <c r="C2" s="2">
        <v>550</v>
      </c>
      <c r="D2" s="2">
        <v>510</v>
      </c>
      <c r="E2" s="2">
        <v>600</v>
      </c>
      <c r="F2" s="2">
        <v>640</v>
      </c>
      <c r="G2" s="2">
        <v>680</v>
      </c>
      <c r="H2" s="2">
        <v>750</v>
      </c>
      <c r="I2" s="2">
        <v>830</v>
      </c>
      <c r="J2" s="2">
        <v>890</v>
      </c>
      <c r="K2" s="2">
        <v>590</v>
      </c>
      <c r="L2" s="2">
        <v>610</v>
      </c>
      <c r="M2" s="2">
        <v>730</v>
      </c>
    </row>
    <row r="3" spans="1:13">
      <c r="A3" s="1" t="s">
        <v>1830</v>
      </c>
      <c r="B3" s="7">
        <f>IF(MOD(COLUMN(B2)-1,4)=0,$B$6+B2,B2)</f>
        <v>500</v>
      </c>
      <c r="C3" s="7">
        <f t="shared" ref="C3:M3" si="0">IF(MOD(COLUMN(C2)-1,4)=0,$B$6+C2,C2)</f>
        <v>550</v>
      </c>
      <c r="D3" s="7">
        <f t="shared" si="0"/>
        <v>510</v>
      </c>
      <c r="E3" s="7">
        <f t="shared" si="0"/>
        <v>800</v>
      </c>
      <c r="F3" s="7">
        <f t="shared" si="0"/>
        <v>640</v>
      </c>
      <c r="G3" s="7">
        <f t="shared" si="0"/>
        <v>680</v>
      </c>
      <c r="H3" s="7">
        <f t="shared" si="0"/>
        <v>750</v>
      </c>
      <c r="I3" s="7">
        <f t="shared" si="0"/>
        <v>1030</v>
      </c>
      <c r="J3" s="7">
        <f t="shared" si="0"/>
        <v>890</v>
      </c>
      <c r="K3" s="7">
        <f t="shared" si="0"/>
        <v>590</v>
      </c>
      <c r="L3" s="7">
        <f t="shared" si="0"/>
        <v>610</v>
      </c>
      <c r="M3" s="7">
        <f t="shared" si="0"/>
        <v>930</v>
      </c>
    </row>
    <row r="6" spans="1:13">
      <c r="A6" s="1" t="s">
        <v>1831</v>
      </c>
      <c r="B6" s="2">
        <v>200</v>
      </c>
    </row>
  </sheetData>
  <conditionalFormatting sqref="B9:M9">
    <cfRule type="expression" priority="1">
      <formula>IF(MOD(COLUMN(B2)-1,4)=0,$B$6+B2,B2)</formula>
    </cfRule>
  </conditionalFormatting>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1E53-2583-4B00-BEDB-60F47A70341B}">
  <sheetPr codeName="Sheet196"/>
  <dimension ref="A1:K14"/>
  <sheetViews>
    <sheetView workbookViewId="0">
      <selection activeCell="A16" sqref="A16"/>
    </sheetView>
  </sheetViews>
  <sheetFormatPr defaultRowHeight="14.4"/>
  <cols>
    <col min="2" max="11" width="12.88671875" customWidth="1"/>
  </cols>
  <sheetData>
    <row r="1" spans="1:11" s="121" customFormat="1" ht="28.8">
      <c r="A1" s="8" t="s">
        <v>108</v>
      </c>
      <c r="B1" s="8" t="s">
        <v>1832</v>
      </c>
      <c r="C1" s="8" t="s">
        <v>1833</v>
      </c>
      <c r="D1" s="8" t="s">
        <v>1834</v>
      </c>
      <c r="E1" s="8" t="s">
        <v>1835</v>
      </c>
      <c r="F1" s="8" t="s">
        <v>1836</v>
      </c>
      <c r="G1" s="8" t="s">
        <v>1837</v>
      </c>
      <c r="H1" s="8" t="s">
        <v>1838</v>
      </c>
      <c r="I1" s="8" t="s">
        <v>1839</v>
      </c>
      <c r="J1" s="8" t="s">
        <v>1840</v>
      </c>
      <c r="K1" s="8" t="s">
        <v>1841</v>
      </c>
    </row>
    <row r="2" spans="1:11">
      <c r="A2" s="2" t="s">
        <v>109</v>
      </c>
      <c r="B2" s="2">
        <v>55</v>
      </c>
      <c r="C2" s="2">
        <v>60</v>
      </c>
      <c r="D2" s="2">
        <v>59</v>
      </c>
      <c r="E2" s="2">
        <v>48</v>
      </c>
      <c r="F2" s="2">
        <v>38</v>
      </c>
      <c r="G2" s="2">
        <v>62</v>
      </c>
      <c r="H2" s="2">
        <v>71</v>
      </c>
      <c r="I2" s="2">
        <v>51</v>
      </c>
      <c r="J2" s="2">
        <v>49</v>
      </c>
      <c r="K2" s="2">
        <v>53</v>
      </c>
    </row>
    <row r="3" spans="1:11">
      <c r="A3" s="2" t="s">
        <v>110</v>
      </c>
      <c r="B3" s="2">
        <v>51</v>
      </c>
      <c r="C3" s="2">
        <v>67</v>
      </c>
      <c r="D3" s="2">
        <v>58</v>
      </c>
      <c r="E3" s="2">
        <v>41</v>
      </c>
      <c r="F3" s="2">
        <v>33</v>
      </c>
      <c r="G3" s="2">
        <v>64</v>
      </c>
      <c r="H3" s="2">
        <v>79</v>
      </c>
      <c r="I3" s="2">
        <v>50</v>
      </c>
      <c r="J3" s="2">
        <v>41</v>
      </c>
      <c r="K3" s="2">
        <v>39</v>
      </c>
    </row>
    <row r="4" spans="1:11">
      <c r="A4" s="2" t="s">
        <v>111</v>
      </c>
      <c r="B4" s="2">
        <v>58</v>
      </c>
      <c r="C4" s="2">
        <v>68</v>
      </c>
      <c r="D4" s="2">
        <v>52</v>
      </c>
      <c r="E4" s="2">
        <v>44</v>
      </c>
      <c r="F4" s="2">
        <v>39</v>
      </c>
      <c r="G4" s="2">
        <v>55</v>
      </c>
      <c r="H4" s="2">
        <v>73</v>
      </c>
      <c r="I4" s="2">
        <v>59</v>
      </c>
      <c r="J4" s="2">
        <v>43</v>
      </c>
      <c r="K4" s="2">
        <v>35</v>
      </c>
    </row>
    <row r="5" spans="1:11">
      <c r="A5" s="2" t="s">
        <v>112</v>
      </c>
      <c r="B5" s="2">
        <v>53</v>
      </c>
      <c r="C5" s="2">
        <v>62</v>
      </c>
      <c r="D5" s="2">
        <v>53</v>
      </c>
      <c r="E5" s="2">
        <v>40</v>
      </c>
      <c r="F5" s="2">
        <v>31</v>
      </c>
      <c r="G5" s="2">
        <v>69</v>
      </c>
      <c r="H5" s="2">
        <v>59</v>
      </c>
      <c r="I5" s="2">
        <v>54</v>
      </c>
      <c r="J5" s="2">
        <v>48</v>
      </c>
      <c r="K5" s="2">
        <v>45</v>
      </c>
    </row>
    <row r="6" spans="1:11">
      <c r="A6" s="2" t="s">
        <v>113</v>
      </c>
      <c r="B6" s="2">
        <v>54</v>
      </c>
      <c r="C6" s="2">
        <v>63</v>
      </c>
      <c r="D6" s="2">
        <v>55</v>
      </c>
      <c r="E6" s="2">
        <v>45</v>
      </c>
      <c r="F6" s="2">
        <v>30</v>
      </c>
      <c r="G6" s="2">
        <v>60</v>
      </c>
      <c r="H6" s="2">
        <v>68</v>
      </c>
      <c r="I6" s="2">
        <v>58</v>
      </c>
      <c r="J6" s="2">
        <v>51</v>
      </c>
      <c r="K6" s="2">
        <v>30</v>
      </c>
    </row>
    <row r="7" spans="1:11">
      <c r="A7" s="2" t="s">
        <v>114</v>
      </c>
      <c r="B7" s="2">
        <v>52</v>
      </c>
      <c r="C7" s="2">
        <v>69</v>
      </c>
      <c r="D7" s="2">
        <v>50</v>
      </c>
      <c r="E7" s="2">
        <v>43</v>
      </c>
      <c r="F7" s="2">
        <v>41</v>
      </c>
      <c r="G7" s="2">
        <v>63</v>
      </c>
      <c r="H7" s="2">
        <v>74</v>
      </c>
      <c r="I7" s="2">
        <v>60</v>
      </c>
      <c r="J7" s="2">
        <v>53</v>
      </c>
      <c r="K7" s="2">
        <v>41</v>
      </c>
    </row>
    <row r="8" spans="1:11">
      <c r="A8" s="2" t="s">
        <v>115</v>
      </c>
      <c r="B8" s="2">
        <v>50</v>
      </c>
      <c r="C8" s="2">
        <v>65</v>
      </c>
      <c r="D8" s="2">
        <v>48</v>
      </c>
      <c r="E8" s="2">
        <v>48</v>
      </c>
      <c r="F8" s="2">
        <v>43</v>
      </c>
      <c r="G8" s="2">
        <v>41</v>
      </c>
      <c r="H8" s="2">
        <v>70</v>
      </c>
      <c r="I8" s="2">
        <v>63</v>
      </c>
      <c r="J8" s="2">
        <v>55</v>
      </c>
      <c r="K8" s="2">
        <v>40</v>
      </c>
    </row>
    <row r="10" spans="1:11">
      <c r="B10" s="374" t="s">
        <v>1842</v>
      </c>
      <c r="C10" s="370"/>
      <c r="D10" s="370"/>
      <c r="E10" s="370"/>
      <c r="F10" s="370"/>
      <c r="G10" s="370"/>
      <c r="H10" s="370"/>
      <c r="I10" s="370"/>
      <c r="J10" s="370"/>
      <c r="K10" s="370"/>
    </row>
    <row r="11" spans="1:11">
      <c r="B11" s="7">
        <f t="array" ref="B11:K11">COLUMN(B1:K8)</f>
        <v>2</v>
      </c>
      <c r="C11" s="7">
        <v>3</v>
      </c>
      <c r="D11" s="7">
        <v>4</v>
      </c>
      <c r="E11" s="7">
        <v>5</v>
      </c>
      <c r="F11" s="7">
        <v>6</v>
      </c>
      <c r="G11" s="7">
        <v>7</v>
      </c>
      <c r="H11" s="7">
        <v>8</v>
      </c>
      <c r="I11" s="7">
        <v>9</v>
      </c>
      <c r="J11" s="7">
        <v>10</v>
      </c>
      <c r="K11" s="7">
        <v>11</v>
      </c>
    </row>
    <row r="14" spans="1:11" ht="57.6">
      <c r="A14" s="8" t="s">
        <v>1843</v>
      </c>
      <c r="B14" s="47">
        <f>MAX(B11:K11)</f>
        <v>11</v>
      </c>
    </row>
  </sheetData>
  <mergeCells count="1">
    <mergeCell ref="B10:K10"/>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B8A9-5BBE-4B4F-8DD9-49CE4178E9A9}">
  <sheetPr codeName="Sheet197"/>
  <dimension ref="A1:K7"/>
  <sheetViews>
    <sheetView workbookViewId="0">
      <selection activeCell="A16" sqref="A16"/>
    </sheetView>
  </sheetViews>
  <sheetFormatPr defaultRowHeight="14.4"/>
  <cols>
    <col min="1" max="1" width="14.88671875" bestFit="1" customWidth="1"/>
    <col min="2" max="2" width="11.33203125" bestFit="1" customWidth="1"/>
    <col min="3" max="3" width="13.88671875" bestFit="1" customWidth="1"/>
    <col min="4" max="4" width="13.6640625" bestFit="1" customWidth="1"/>
    <col min="5" max="5" width="7.88671875" bestFit="1" customWidth="1"/>
    <col min="6" max="6" width="14.6640625" bestFit="1" customWidth="1"/>
    <col min="9" max="9" width="12.88671875" bestFit="1" customWidth="1"/>
    <col min="10" max="10" width="22.88671875" bestFit="1" customWidth="1"/>
    <col min="11" max="11" width="13.6640625" bestFit="1" customWidth="1"/>
  </cols>
  <sheetData>
    <row r="1" spans="1:11">
      <c r="A1" s="1" t="s">
        <v>155</v>
      </c>
      <c r="B1" s="1" t="s">
        <v>156</v>
      </c>
      <c r="C1" s="1" t="s">
        <v>369</v>
      </c>
      <c r="D1" s="1" t="s">
        <v>158</v>
      </c>
      <c r="E1" s="1" t="s">
        <v>1844</v>
      </c>
      <c r="F1" s="1" t="s">
        <v>237</v>
      </c>
      <c r="I1" s="368" t="s">
        <v>1869</v>
      </c>
      <c r="J1" s="368"/>
      <c r="K1" s="368"/>
    </row>
    <row r="2" spans="1:11">
      <c r="A2" s="3" t="s">
        <v>1845</v>
      </c>
      <c r="B2" s="2" t="s">
        <v>1851</v>
      </c>
      <c r="C2" s="2" t="s">
        <v>381</v>
      </c>
      <c r="D2" s="2" t="s">
        <v>1857</v>
      </c>
      <c r="E2" s="2" t="s">
        <v>286</v>
      </c>
      <c r="F2" s="2" t="s">
        <v>1863</v>
      </c>
      <c r="I2" s="1" t="s">
        <v>155</v>
      </c>
      <c r="J2" s="1" t="s">
        <v>156</v>
      </c>
      <c r="K2" s="1" t="s">
        <v>158</v>
      </c>
    </row>
    <row r="3" spans="1:11">
      <c r="A3" s="3" t="s">
        <v>1846</v>
      </c>
      <c r="B3" s="2" t="s">
        <v>1852</v>
      </c>
      <c r="C3" s="2" t="s">
        <v>381</v>
      </c>
      <c r="D3" s="2" t="s">
        <v>1858</v>
      </c>
      <c r="E3" s="2" t="s">
        <v>287</v>
      </c>
      <c r="F3" s="2" t="s">
        <v>1864</v>
      </c>
      <c r="I3" s="3" t="s">
        <v>1845</v>
      </c>
      <c r="J3" s="7" t="str">
        <f>VLOOKUP(I3,A:B,COLUMN(B2),0)</f>
        <v>ITIL_3098</v>
      </c>
      <c r="K3" s="7" t="str">
        <f>VLOOKUP(I3,A:D,COLUMN(D2),0)</f>
        <v>ITIL_WS_001</v>
      </c>
    </row>
    <row r="4" spans="1:11">
      <c r="A4" s="3" t="s">
        <v>1847</v>
      </c>
      <c r="B4" s="2" t="s">
        <v>1853</v>
      </c>
      <c r="C4" s="2" t="s">
        <v>382</v>
      </c>
      <c r="D4" s="2" t="s">
        <v>1859</v>
      </c>
      <c r="E4" s="2" t="s">
        <v>287</v>
      </c>
      <c r="F4" s="2" t="s">
        <v>1865</v>
      </c>
      <c r="I4" s="3" t="s">
        <v>1848</v>
      </c>
      <c r="J4" s="7" t="str">
        <f>VLOOKUP(I4,A:B,COLUMN(B3),0)</f>
        <v>ITIL_4501</v>
      </c>
      <c r="K4" s="7" t="str">
        <f>VLOOKUP(I4,A:D,COLUMN(D3),0)</f>
        <v>ITIL_WS_035</v>
      </c>
    </row>
    <row r="5" spans="1:11">
      <c r="A5" s="3" t="s">
        <v>1848</v>
      </c>
      <c r="B5" s="2" t="s">
        <v>1854</v>
      </c>
      <c r="C5" s="2" t="s">
        <v>382</v>
      </c>
      <c r="D5" s="2" t="s">
        <v>1860</v>
      </c>
      <c r="E5" s="2" t="s">
        <v>286</v>
      </c>
      <c r="F5" s="2" t="s">
        <v>1866</v>
      </c>
      <c r="I5" s="3" t="s">
        <v>1849</v>
      </c>
      <c r="J5" s="7" t="str">
        <f>VLOOKUP(I5,A:B,COLUMN(B4),0)</f>
        <v>ITIL_4599</v>
      </c>
      <c r="K5" s="7" t="str">
        <f>VLOOKUP(I5,A:D,COLUMN(D4),0)</f>
        <v>ITIL_WS_049</v>
      </c>
    </row>
    <row r="6" spans="1:11">
      <c r="A6" s="3" t="s">
        <v>1849</v>
      </c>
      <c r="B6" s="2" t="s">
        <v>1855</v>
      </c>
      <c r="C6" s="2" t="s">
        <v>382</v>
      </c>
      <c r="D6" s="2" t="s">
        <v>1861</v>
      </c>
      <c r="E6" s="2" t="s">
        <v>286</v>
      </c>
      <c r="F6" s="2" t="s">
        <v>1867</v>
      </c>
      <c r="I6" s="3" t="s">
        <v>1850</v>
      </c>
      <c r="J6" s="7" t="str">
        <f>VLOOKUP(I6,A:B,COLUMN(B5),0)</f>
        <v>ITIL_4612</v>
      </c>
      <c r="K6" s="7" t="str">
        <f>VLOOKUP(I6,A:D,COLUMN(D5),0)</f>
        <v>ITIL_WS_053</v>
      </c>
    </row>
    <row r="7" spans="1:11">
      <c r="A7" s="3" t="s">
        <v>1850</v>
      </c>
      <c r="B7" s="2" t="s">
        <v>1856</v>
      </c>
      <c r="C7" s="2" t="s">
        <v>383</v>
      </c>
      <c r="D7" s="2" t="s">
        <v>1862</v>
      </c>
      <c r="E7" s="2" t="s">
        <v>286</v>
      </c>
      <c r="F7" s="2" t="s">
        <v>1868</v>
      </c>
    </row>
  </sheetData>
  <mergeCells count="1">
    <mergeCell ref="I1:K1"/>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7E10-930D-4C24-A29C-E2112F383873}">
  <sheetPr codeName="Sheet198"/>
  <dimension ref="A1:E6"/>
  <sheetViews>
    <sheetView workbookViewId="0"/>
  </sheetViews>
  <sheetFormatPr defaultRowHeight="14.4"/>
  <cols>
    <col min="1" max="1" width="37.5546875" bestFit="1" customWidth="1"/>
    <col min="4" max="4" width="7.5546875" bestFit="1" customWidth="1"/>
    <col min="5" max="5" width="11.88671875" bestFit="1" customWidth="1"/>
  </cols>
  <sheetData>
    <row r="1" spans="1:5">
      <c r="A1" s="1" t="s">
        <v>1871</v>
      </c>
      <c r="B1" s="7">
        <v>4</v>
      </c>
      <c r="D1" s="1" t="s">
        <v>153</v>
      </c>
      <c r="E1" s="1" t="s">
        <v>154</v>
      </c>
    </row>
    <row r="2" spans="1:5">
      <c r="A2" s="1" t="s">
        <v>1870</v>
      </c>
      <c r="B2" s="7">
        <v>5</v>
      </c>
      <c r="D2" s="2">
        <v>1</v>
      </c>
      <c r="E2" s="2">
        <f>D2*D2</f>
        <v>1</v>
      </c>
    </row>
    <row r="3" spans="1:5">
      <c r="D3" s="2">
        <v>2</v>
      </c>
      <c r="E3" s="2">
        <f>D3*D3</f>
        <v>4</v>
      </c>
    </row>
    <row r="4" spans="1:5">
      <c r="D4" s="2">
        <v>3</v>
      </c>
      <c r="E4" s="2">
        <f>D4*D4</f>
        <v>9</v>
      </c>
    </row>
    <row r="5" spans="1:5">
      <c r="D5" s="2">
        <v>4</v>
      </c>
      <c r="E5" s="2">
        <f>D5*D5</f>
        <v>16</v>
      </c>
    </row>
    <row r="6" spans="1:5">
      <c r="D6" s="2">
        <v>5</v>
      </c>
      <c r="E6" s="2">
        <f>D6*D6</f>
        <v>25</v>
      </c>
    </row>
  </sheetData>
  <pageMargins left="0.7" right="0.7" top="0.75" bottom="0.75" header="0.3" footer="0.3"/>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BDEA-73A9-49DF-AE15-E06E21880998}">
  <sheetPr codeName="Sheet199"/>
  <dimension ref="A1:D13"/>
  <sheetViews>
    <sheetView zoomScale="90" zoomScaleNormal="90" workbookViewId="0">
      <selection activeCell="A18" sqref="A18"/>
    </sheetView>
  </sheetViews>
  <sheetFormatPr defaultRowHeight="14.4"/>
  <cols>
    <col min="1" max="1" width="34.5546875" bestFit="1" customWidth="1"/>
    <col min="2" max="2" width="72.6640625" bestFit="1" customWidth="1"/>
    <col min="3" max="3" width="44.33203125" bestFit="1" customWidth="1"/>
    <col min="4" max="4" width="27.5546875" customWidth="1"/>
  </cols>
  <sheetData>
    <row r="1" spans="1:4">
      <c r="A1" s="1" t="s">
        <v>1872</v>
      </c>
      <c r="B1" s="1" t="s">
        <v>1874</v>
      </c>
      <c r="C1" s="1" t="s">
        <v>1873</v>
      </c>
      <c r="D1" s="1" t="s">
        <v>1570</v>
      </c>
    </row>
    <row r="2" spans="1:4">
      <c r="A2" s="2" t="str">
        <f>CHAR(15)&amp;"allen@gmail.com"&amp;CHAR(15)</f>
        <v>_x000F_allen@gmail.com_x000F_</v>
      </c>
      <c r="B2" s="65" t="s">
        <v>1875</v>
      </c>
      <c r="C2" s="7" t="str">
        <f>CLEAN(A2)</f>
        <v>allen@gmail.com</v>
      </c>
      <c r="D2" s="65" t="s">
        <v>1878</v>
      </c>
    </row>
    <row r="3" spans="1:4">
      <c r="A3" s="2" t="str">
        <f>CHAR(12)&amp;"This is an example of the CLEAN()."</f>
        <v>_x000C_This is an example of the CLEAN().</v>
      </c>
      <c r="B3" s="65" t="s">
        <v>1876</v>
      </c>
      <c r="C3" s="7" t="str">
        <f>CLEAN(A3)</f>
        <v>This is an example of the CLEAN().</v>
      </c>
      <c r="D3" s="65" t="s">
        <v>1879</v>
      </c>
    </row>
    <row r="4" spans="1:4">
      <c r="A4" s="2" t="str">
        <f>"($@&amp;%*#)"&amp;CHAR(167)&amp;CHAR(21)</f>
        <v>($@&amp;%*#)§_x0015_</v>
      </c>
      <c r="B4" s="65" t="s">
        <v>1877</v>
      </c>
      <c r="C4" s="7" t="str">
        <f>CLEAN(A4)</f>
        <v>($@&amp;%*#)§</v>
      </c>
      <c r="D4" s="65" t="s">
        <v>1880</v>
      </c>
    </row>
    <row r="5" spans="1:4" ht="43.2">
      <c r="A5" s="123" t="str">
        <f>"This cell "&amp;CHAR(10)&amp;"contained "&amp;CHAR(10)&amp;"line breaks."</f>
        <v>This cell 
contained 
line breaks.</v>
      </c>
      <c r="B5" s="124" t="s">
        <v>1915</v>
      </c>
      <c r="C5" s="47" t="str">
        <f>CLEAN(A5)</f>
        <v>This cell contained line breaks.</v>
      </c>
      <c r="D5" s="124" t="s">
        <v>1881</v>
      </c>
    </row>
    <row r="9" spans="1:4">
      <c r="C9" s="122"/>
    </row>
    <row r="13" spans="1:4">
      <c r="C13" s="125"/>
    </row>
  </sheetData>
  <pageMargins left="0.7" right="0.7" top="0.75" bottom="0.75" header="0.3" footer="0.3"/>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B387-98D2-4D49-AE38-B3E83D7D108B}">
  <sheetPr codeName="Sheet200"/>
  <dimension ref="A1:G7"/>
  <sheetViews>
    <sheetView workbookViewId="0">
      <selection activeCell="A18" sqref="A18"/>
    </sheetView>
  </sheetViews>
  <sheetFormatPr defaultRowHeight="14.4"/>
  <cols>
    <col min="1" max="1" width="14" bestFit="1" customWidth="1"/>
    <col min="2" max="2" width="24.88671875" bestFit="1" customWidth="1"/>
    <col min="3" max="3" width="15.88671875" bestFit="1" customWidth="1"/>
    <col min="6" max="6" width="12.5546875" customWidth="1"/>
    <col min="7" max="7" width="15.33203125" customWidth="1"/>
  </cols>
  <sheetData>
    <row r="1" spans="1:7">
      <c r="A1" s="1" t="s">
        <v>155</v>
      </c>
      <c r="B1" s="1" t="s">
        <v>1882</v>
      </c>
      <c r="C1" s="1" t="s">
        <v>1883</v>
      </c>
    </row>
    <row r="2" spans="1:7">
      <c r="A2" s="3" t="s">
        <v>1884</v>
      </c>
      <c r="B2" s="2" t="str">
        <f>CHAR(15)&amp;"GTPL1095"&amp;CHAR(21)</f>
        <v>_x000F_GTPL1095_x0015_</v>
      </c>
      <c r="C2" s="7" t="str">
        <f>CLEAN(B2)</f>
        <v>GTPL1095</v>
      </c>
      <c r="G2" s="14"/>
    </row>
    <row r="3" spans="1:7">
      <c r="A3" s="3" t="s">
        <v>1885</v>
      </c>
      <c r="B3" s="2" t="str">
        <f>CHAR(12)&amp;CHAR(12)&amp;"GTPL2940"</f>
        <v>_x000C__x000C_GTPL2940</v>
      </c>
      <c r="C3" s="7" t="str">
        <f>CLEAN(B3)</f>
        <v>GTPL2940</v>
      </c>
      <c r="G3" s="14"/>
    </row>
    <row r="4" spans="1:7">
      <c r="A4" s="3" t="s">
        <v>1886</v>
      </c>
      <c r="B4" s="2" t="str">
        <f>CHAR(2)&amp;"GTPL3478"</f>
        <v>_x0002_GTPL3478</v>
      </c>
      <c r="C4" s="7" t="str">
        <f>CLEAN(B4)</f>
        <v>GTPL3478</v>
      </c>
      <c r="G4" s="14"/>
    </row>
    <row r="5" spans="1:7">
      <c r="A5" s="3" t="s">
        <v>1887</v>
      </c>
      <c r="B5" s="2" t="str">
        <f>"GTPL"&amp;CHAR(20)&amp;"35"&amp;CHAR(24)&amp;"85"</f>
        <v>GTPL_x0014_35_x0018_85</v>
      </c>
      <c r="C5" s="7" t="str">
        <f>CLEAN(B5)</f>
        <v>GTPL3585</v>
      </c>
      <c r="G5" s="14"/>
    </row>
    <row r="6" spans="1:7">
      <c r="A6" s="3" t="s">
        <v>1888</v>
      </c>
      <c r="B6" s="2" t="str">
        <f>"G"&amp;CHAR(12)&amp;"TPL4032"&amp;CHAR(12)</f>
        <v>G_x000C_TPL4032_x000C_</v>
      </c>
      <c r="C6" s="7" t="str">
        <f>CLEAN(B6)</f>
        <v>GTPL4032</v>
      </c>
      <c r="G6" s="14"/>
    </row>
    <row r="7" spans="1:7">
      <c r="A7" s="3" t="s">
        <v>1889</v>
      </c>
      <c r="B7" s="2" t="str">
        <f>"GTPL"&amp;CHAR(9)&amp;"5264"</f>
        <v>GTPL	5264</v>
      </c>
      <c r="C7" s="7" t="s">
        <v>1890</v>
      </c>
      <c r="G7" s="14"/>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0DD-6EB7-4641-B783-7A4E3A05B0E1}">
  <sheetPr codeName="Sheet201"/>
  <dimension ref="A1:C7"/>
  <sheetViews>
    <sheetView workbookViewId="0">
      <selection activeCell="A18" sqref="A18"/>
    </sheetView>
  </sheetViews>
  <sheetFormatPr defaultRowHeight="14.4"/>
  <cols>
    <col min="1" max="1" width="14.88671875" customWidth="1"/>
    <col min="2" max="2" width="22.5546875" bestFit="1" customWidth="1"/>
    <col min="3" max="3" width="34.44140625" bestFit="1" customWidth="1"/>
  </cols>
  <sheetData>
    <row r="1" spans="1:3">
      <c r="A1" s="1" t="s">
        <v>1891</v>
      </c>
      <c r="B1" s="1" t="s">
        <v>1898</v>
      </c>
      <c r="C1" s="1" t="s">
        <v>1899</v>
      </c>
    </row>
    <row r="2" spans="1:3">
      <c r="A2" s="2" t="s">
        <v>1892</v>
      </c>
      <c r="B2" s="2" t="str">
        <f>CHAR(15)&amp;25000&amp;CHAR(22)</f>
        <v>_x000F_25000_x0016_</v>
      </c>
      <c r="C2" s="7" t="str">
        <f t="shared" ref="C2:C7" si="0">TRIM(CLEAN(B2))</f>
        <v>25000</v>
      </c>
    </row>
    <row r="3" spans="1:3">
      <c r="A3" s="2" t="s">
        <v>1893</v>
      </c>
      <c r="B3" s="2" t="str">
        <f>CHAR(12)&amp;26780</f>
        <v>_x000C_26780</v>
      </c>
      <c r="C3" s="7" t="str">
        <f t="shared" si="0"/>
        <v>26780</v>
      </c>
    </row>
    <row r="4" spans="1:3">
      <c r="A4" s="2" t="s">
        <v>1894</v>
      </c>
      <c r="B4" s="2" t="str">
        <f>CHAR(32)&amp;21&amp;CHAR(15)&amp;350</f>
        <v xml:space="preserve"> 21_x000F_350</v>
      </c>
      <c r="C4" s="7" t="str">
        <f t="shared" si="0"/>
        <v>21350</v>
      </c>
    </row>
    <row r="5" spans="1:3">
      <c r="A5" s="2" t="s">
        <v>1895</v>
      </c>
      <c r="B5" s="2" t="str">
        <f>CHAR(12)&amp;CHAR(12)&amp;31490</f>
        <v>_x000C__x000C_31490</v>
      </c>
      <c r="C5" s="7" t="str">
        <f t="shared" si="0"/>
        <v>31490</v>
      </c>
    </row>
    <row r="6" spans="1:3">
      <c r="A6" s="2" t="s">
        <v>1896</v>
      </c>
      <c r="B6" s="2" t="str">
        <f>10760&amp;CHAR(32)&amp;CHAR(15)</f>
        <v>10760 _x000F_</v>
      </c>
      <c r="C6" s="7" t="str">
        <f t="shared" si="0"/>
        <v>10760</v>
      </c>
    </row>
    <row r="7" spans="1:3">
      <c r="A7" s="2" t="s">
        <v>1897</v>
      </c>
      <c r="B7" s="2" t="str">
        <f>CHAR(12)&amp;45&amp;CHAR(12)&amp;120&amp;CHAR(32)</f>
        <v xml:space="preserve">_x000C_45_x000C_120 </v>
      </c>
      <c r="C7" s="7" t="str">
        <f t="shared" si="0"/>
        <v>45120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A13E-4648-4639-B996-09FA614BC2C0}">
  <sheetPr codeName="Sheet202"/>
  <dimension ref="A1:B6"/>
  <sheetViews>
    <sheetView workbookViewId="0">
      <selection activeCell="A18" sqref="A18"/>
    </sheetView>
  </sheetViews>
  <sheetFormatPr defaultRowHeight="14.4"/>
  <cols>
    <col min="1" max="1" width="26.88671875" bestFit="1" customWidth="1"/>
    <col min="2" max="2" width="30.44140625" bestFit="1" customWidth="1"/>
  </cols>
  <sheetData>
    <row r="1" spans="1:2">
      <c r="A1" s="1" t="s">
        <v>1913</v>
      </c>
      <c r="B1" s="1" t="s">
        <v>1914</v>
      </c>
    </row>
    <row r="2" spans="1:2">
      <c r="A2" s="2" t="str">
        <f>CHAR(12)&amp;"      Austin-       Texas"</f>
        <v>_x000C_      Austin-       Texas</v>
      </c>
      <c r="B2" s="7" t="str">
        <f>TRIM(CLEAN(SUBSTITUTE(A2,CHAR(160),"")))</f>
        <v>Austin- Texas</v>
      </c>
    </row>
    <row r="3" spans="1:2">
      <c r="A3" s="2" t="str">
        <f>CHAR(22)&amp;"Sacramento-       California  "&amp;CHAR(15)&amp;CHAR(15)</f>
        <v>_x0016_Sacramento-       California  _x000F__x000F_</v>
      </c>
      <c r="B3" s="7" t="str">
        <f>TRIM(CLEAN(SUBSTITUTE(A3,CHAR(160),"")))</f>
        <v>Sacramento- California</v>
      </c>
    </row>
    <row r="4" spans="1:2">
      <c r="A4" s="2" t="str">
        <f>CHAR(12)&amp;CHAR(12)&amp;"    Honolulu-       Hawaii      "</f>
        <v xml:space="preserve">_x000C__x000C_    Honolulu-       Hawaii      </v>
      </c>
      <c r="B4" s="7" t="str">
        <f>TRIM(CLEAN(SUBSTITUTE(A4,CHAR(160),"")))</f>
        <v>Honolulu- Hawaii</v>
      </c>
    </row>
    <row r="5" spans="1:2">
      <c r="A5" s="2" t="str">
        <f>"Trenton-     New"&amp;CHAR(15)&amp;"     Jersey   "</f>
        <v xml:space="preserve">Trenton-     New_x000F_     Jersey   </v>
      </c>
      <c r="B5" s="7" t="str">
        <f>TRIM(CLEAN(SUBSTITUTE(A5,CHAR(160),"")))</f>
        <v>Trenton- New Jersey</v>
      </c>
    </row>
    <row r="6" spans="1:2">
      <c r="A6" s="2" t="str">
        <f>CHAR(22)&amp;"Salem-         Oregon   "&amp;CHAR(15)</f>
        <v>_x0016_Salem-         Oregon   _x000F_</v>
      </c>
      <c r="B6" s="7" t="str">
        <f>TRIM(CLEAN(SUBSTITUTE(A6,CHAR(160),"")))</f>
        <v>Salem- Oregon</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DFC6-30FB-4955-BC59-969DAA6B2D79}">
  <sheetPr codeName="Sheet203"/>
  <dimension ref="A1:B11"/>
  <sheetViews>
    <sheetView workbookViewId="0">
      <selection activeCell="A18" sqref="A18"/>
    </sheetView>
  </sheetViews>
  <sheetFormatPr defaultRowHeight="14.4"/>
  <cols>
    <col min="1" max="1" width="34.88671875" customWidth="1"/>
    <col min="2" max="2" width="14.5546875" bestFit="1" customWidth="1"/>
  </cols>
  <sheetData>
    <row r="1" spans="1:2">
      <c r="A1" s="1" t="s">
        <v>1901</v>
      </c>
      <c r="B1" s="1" t="s">
        <v>1902</v>
      </c>
    </row>
    <row r="2" spans="1:2">
      <c r="A2" s="2" t="str">
        <f>CHAR(12)&amp;"Apple"</f>
        <v>_x000C_Apple</v>
      </c>
      <c r="B2" s="7" t="str">
        <f>IF(CLEAN(A2)=A2,"Clean","Not Clean")</f>
        <v>Not Clean</v>
      </c>
    </row>
    <row r="3" spans="1:2">
      <c r="A3" s="2" t="str">
        <f>CHAR(15)&amp;CHAR(22)&amp;"Microsoft"</f>
        <v>_x000F__x0016_Microsoft</v>
      </c>
      <c r="B3" s="7" t="str">
        <f t="shared" ref="B3:B11" si="0">IF(CLEAN(A3)=A3,"Clean","Not Clean")</f>
        <v>Not Clean</v>
      </c>
    </row>
    <row r="4" spans="1:2" ht="28.8">
      <c r="A4" s="107" t="str">
        <f>CHAR(15)&amp;"Alpha"&amp;CHAR(10)&amp;"bet"</f>
        <v>_x000F_Alpha
bet</v>
      </c>
      <c r="B4" s="7" t="str">
        <f t="shared" si="0"/>
        <v>Not Clean</v>
      </c>
    </row>
    <row r="5" spans="1:2">
      <c r="A5" s="2" t="str">
        <f>CHAR(21)&amp;"Amazon"</f>
        <v>_x0015_Amazon</v>
      </c>
      <c r="B5" s="7" t="str">
        <f t="shared" si="0"/>
        <v>Not Clean</v>
      </c>
    </row>
    <row r="6" spans="1:2">
      <c r="A6" s="2" t="str">
        <f>"Tesla"&amp;CHAR(12)</f>
        <v>Tesla_x000C_</v>
      </c>
      <c r="B6" s="7" t="str">
        <f t="shared" si="0"/>
        <v>Not Clean</v>
      </c>
    </row>
    <row r="7" spans="1:2">
      <c r="A7" s="2" t="s">
        <v>1537</v>
      </c>
      <c r="B7" s="7" t="str">
        <f t="shared" si="0"/>
        <v>Clean</v>
      </c>
    </row>
    <row r="8" spans="1:2">
      <c r="A8" s="2" t="s">
        <v>1900</v>
      </c>
      <c r="B8" s="7" t="str">
        <f t="shared" si="0"/>
        <v>Clean</v>
      </c>
    </row>
    <row r="9" spans="1:2">
      <c r="A9" s="2" t="str">
        <f>"Nvidia"&amp;CHAR(12)&amp;CHAR(12)</f>
        <v>Nvidia_x000C__x000C_</v>
      </c>
      <c r="B9" s="7" t="str">
        <f t="shared" si="0"/>
        <v>Not Clean</v>
      </c>
    </row>
    <row r="10" spans="1:2">
      <c r="A10" s="2" t="str">
        <f>"Tencent "&amp;CHAR(9)&amp;"Holdings"</f>
        <v>Tencent 	Holdings</v>
      </c>
      <c r="B10" s="7" t="str">
        <f t="shared" si="0"/>
        <v>Not Clean</v>
      </c>
    </row>
    <row r="11" spans="1:2">
      <c r="A11" s="2" t="str">
        <f>CHAR(22)&amp;"Samsung Electronics"&amp;CHAR(22)</f>
        <v>_x0016_Samsung Electronics_x0016_</v>
      </c>
      <c r="B11" s="7" t="str">
        <f t="shared" si="0"/>
        <v>Not Clean</v>
      </c>
    </row>
  </sheetData>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1BE5-7E5A-49B7-BDCA-824BA4EDA048}">
  <sheetPr codeName="Sheet204"/>
  <dimension ref="A1:C5"/>
  <sheetViews>
    <sheetView workbookViewId="0"/>
  </sheetViews>
  <sheetFormatPr defaultRowHeight="14.4"/>
  <cols>
    <col min="1" max="2" width="42.109375" bestFit="1" customWidth="1"/>
    <col min="3" max="3" width="64.33203125" bestFit="1" customWidth="1"/>
  </cols>
  <sheetData>
    <row r="1" spans="1:3" ht="28.8">
      <c r="A1" s="1" t="s">
        <v>1903</v>
      </c>
      <c r="B1" s="8" t="s">
        <v>1906</v>
      </c>
      <c r="C1" s="8" t="s">
        <v>1907</v>
      </c>
    </row>
    <row r="2" spans="1:3">
      <c r="A2" s="2" t="str">
        <f>CHAR(15)&amp;"Freddy "&amp;CHAR(15)&amp;"Junior"</f>
        <v>_x000F_Freddy _x000F_Junior</v>
      </c>
      <c r="B2" s="2" t="s">
        <v>1905</v>
      </c>
      <c r="C2" s="7" t="s">
        <v>1909</v>
      </c>
    </row>
    <row r="3" spans="1:3">
      <c r="A3" s="2" t="str">
        <f>"          !@#$%^&amp;*()"&amp;CHAR(155)&amp;CHAR(135)&amp;CHAR(21)</f>
        <v xml:space="preserve">          !@#$%^&amp;*()›‡_x0015_</v>
      </c>
      <c r="B3" s="2" t="s">
        <v>1904</v>
      </c>
      <c r="C3" s="7" t="s">
        <v>1910</v>
      </c>
    </row>
    <row r="4" spans="1:3">
      <c r="A4" s="2" t="str">
        <f>"CLEAN function "&amp;CHAR(12)&amp;CHAR(12)&amp;"in Excel VBA."&amp;CHAR(12)</f>
        <v>CLEAN function _x000C__x000C_in Excel VBA._x000C_</v>
      </c>
      <c r="B4" s="2" t="s">
        <v>1905</v>
      </c>
      <c r="C4" s="7" t="s">
        <v>1911</v>
      </c>
    </row>
    <row r="5" spans="1:3" ht="43.2">
      <c r="A5" s="126" t="str">
        <f>CHAR(12)&amp;"The text value "&amp;CHAR(10)&amp;"should not contain "&amp;CHAR(15)&amp;"nonprintable characters and "&amp;CHAR(10)&amp;"line breaks."</f>
        <v>_x000C_The text value 
should not contain _x000F_nonprintable characters and 
line breaks.</v>
      </c>
      <c r="B5" s="45" t="s">
        <v>1908</v>
      </c>
      <c r="C5" s="47" t="s">
        <v>1912</v>
      </c>
    </row>
  </sheetData>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25A1-7417-4C55-91E8-A94067FA3B8B}">
  <sheetPr codeName="Sheet205"/>
  <dimension ref="A1:E14"/>
  <sheetViews>
    <sheetView workbookViewId="0">
      <selection activeCell="D2" sqref="D2"/>
    </sheetView>
  </sheetViews>
  <sheetFormatPr defaultRowHeight="14.4"/>
  <cols>
    <col min="1" max="1" width="10.5546875" customWidth="1"/>
    <col min="2" max="2" width="7.88671875" customWidth="1"/>
    <col min="3" max="3" width="40.88671875" customWidth="1"/>
    <col min="4" max="4" width="13.44140625" customWidth="1"/>
    <col min="5" max="5" width="29.5546875" bestFit="1" customWidth="1"/>
  </cols>
  <sheetData>
    <row r="1" spans="1:5">
      <c r="A1" s="1" t="s">
        <v>1135</v>
      </c>
      <c r="B1" s="1" t="s">
        <v>1136</v>
      </c>
      <c r="C1" s="1" t="s">
        <v>664</v>
      </c>
      <c r="D1" s="1" t="s">
        <v>1916</v>
      </c>
      <c r="E1" s="25" t="s">
        <v>1977</v>
      </c>
    </row>
    <row r="2" spans="1:5">
      <c r="A2" s="20">
        <f>DATE(2022,1,20)</f>
        <v>44581</v>
      </c>
      <c r="B2" s="2">
        <v>1</v>
      </c>
      <c r="C2" s="2" t="s">
        <v>1917</v>
      </c>
      <c r="D2" s="66">
        <f>EDATE(A2,B2)</f>
        <v>44612</v>
      </c>
      <c r="E2" s="65" t="s">
        <v>1922</v>
      </c>
    </row>
    <row r="3" spans="1:5">
      <c r="A3" s="20">
        <f>DATE(2021,2,10)</f>
        <v>44237</v>
      </c>
      <c r="B3" s="2">
        <v>-3</v>
      </c>
      <c r="C3" s="2" t="s">
        <v>1918</v>
      </c>
      <c r="D3" s="66">
        <f>EDATE(A3,B3)</f>
        <v>44145</v>
      </c>
      <c r="E3" s="65" t="s">
        <v>1923</v>
      </c>
    </row>
    <row r="4" spans="1:5">
      <c r="A4" s="20">
        <f>DATE(2020,3,23)</f>
        <v>43913</v>
      </c>
      <c r="B4" s="2">
        <v>60</v>
      </c>
      <c r="C4" s="2" t="s">
        <v>1919</v>
      </c>
      <c r="D4" s="66">
        <f>EDATE(A4,B4)</f>
        <v>45739</v>
      </c>
      <c r="E4" s="65" t="s">
        <v>1924</v>
      </c>
    </row>
    <row r="5" spans="1:5">
      <c r="A5" s="20">
        <f>DATE(2019,4,30)</f>
        <v>43585</v>
      </c>
      <c r="B5" s="2">
        <v>45</v>
      </c>
      <c r="C5" s="2" t="s">
        <v>1920</v>
      </c>
      <c r="D5" s="66">
        <f>EDATE(A5,B5)</f>
        <v>44956</v>
      </c>
      <c r="E5" s="65" t="s">
        <v>1925</v>
      </c>
    </row>
    <row r="6" spans="1:5">
      <c r="A6" s="20">
        <f>DATE(2018,5,15)</f>
        <v>43235</v>
      </c>
      <c r="B6" s="2">
        <v>-120</v>
      </c>
      <c r="C6" s="2" t="s">
        <v>1921</v>
      </c>
      <c r="D6" s="66">
        <f>EDATE(A6,B6)</f>
        <v>39583</v>
      </c>
      <c r="E6" s="65" t="s">
        <v>1926</v>
      </c>
    </row>
    <row r="14" spans="1:5">
      <c r="D14" s="48"/>
    </row>
  </sheetData>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5FCD-2D6E-4E94-8CBA-260FF6F0BC8F}">
  <sheetPr codeName="Sheet206"/>
  <dimension ref="A1:C7"/>
  <sheetViews>
    <sheetView workbookViewId="0">
      <selection activeCell="D2" sqref="D2"/>
    </sheetView>
  </sheetViews>
  <sheetFormatPr defaultRowHeight="14.4"/>
  <cols>
    <col min="1" max="1" width="10.44140625" bestFit="1" customWidth="1"/>
    <col min="2" max="2" width="7.44140625" bestFit="1" customWidth="1"/>
    <col min="3" max="3" width="12.88671875" bestFit="1" customWidth="1"/>
  </cols>
  <sheetData>
    <row r="1" spans="1:3">
      <c r="A1" s="1" t="s">
        <v>1122</v>
      </c>
      <c r="B1" s="1" t="s">
        <v>1136</v>
      </c>
      <c r="C1" s="1" t="s">
        <v>1916</v>
      </c>
    </row>
    <row r="2" spans="1:3">
      <c r="A2" s="20">
        <f>DATE(2021,5,19)</f>
        <v>44335</v>
      </c>
      <c r="B2" s="2">
        <v>15</v>
      </c>
      <c r="C2" s="66">
        <f t="shared" ref="C2:C7" si="0">EDATE(A2,B2)</f>
        <v>44792</v>
      </c>
    </row>
    <row r="3" spans="1:3">
      <c r="A3" s="20">
        <f>DATE(2019,4,21)</f>
        <v>43576</v>
      </c>
      <c r="B3" s="2">
        <v>0</v>
      </c>
      <c r="C3" s="66">
        <f t="shared" si="0"/>
        <v>43576</v>
      </c>
    </row>
    <row r="4" spans="1:3">
      <c r="A4" s="20">
        <f>DATE(2021,6,18)</f>
        <v>44365</v>
      </c>
      <c r="B4" s="2">
        <v>-15</v>
      </c>
      <c r="C4" s="66">
        <f t="shared" si="0"/>
        <v>43908</v>
      </c>
    </row>
    <row r="5" spans="1:3">
      <c r="A5" s="20">
        <f>DATE(2020,3,16)</f>
        <v>43906</v>
      </c>
      <c r="B5" s="2">
        <v>-60</v>
      </c>
      <c r="C5" s="66">
        <f t="shared" si="0"/>
        <v>42079</v>
      </c>
    </row>
    <row r="6" spans="1:3">
      <c r="A6" s="20">
        <f>DATE(2018,10,30)</f>
        <v>43403</v>
      </c>
      <c r="B6" s="2">
        <v>10</v>
      </c>
      <c r="C6" s="66">
        <f t="shared" si="0"/>
        <v>43707</v>
      </c>
    </row>
    <row r="7" spans="1:3">
      <c r="A7" s="20">
        <f>DATE(2021,11,24)</f>
        <v>44524</v>
      </c>
      <c r="B7" s="2">
        <v>24</v>
      </c>
      <c r="C7" s="66">
        <f t="shared" si="0"/>
        <v>45254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FEF91-1BE4-41B2-99F0-A680761C4136}">
  <sheetPr codeName="Sheet207"/>
  <dimension ref="A1:F7"/>
  <sheetViews>
    <sheetView workbookViewId="0">
      <selection activeCell="D2" sqref="D2"/>
    </sheetView>
  </sheetViews>
  <sheetFormatPr defaultRowHeight="14.4"/>
  <cols>
    <col min="1" max="1" width="7.109375" bestFit="1" customWidth="1"/>
    <col min="2" max="2" width="18.88671875" bestFit="1" customWidth="1"/>
    <col min="3" max="3" width="17.5546875" bestFit="1" customWidth="1"/>
    <col min="4" max="4" width="11.44140625" customWidth="1"/>
    <col min="5" max="5" width="10.44140625" bestFit="1" customWidth="1"/>
    <col min="6" max="6" width="9.44140625" bestFit="1" customWidth="1"/>
  </cols>
  <sheetData>
    <row r="1" spans="1:6">
      <c r="A1" s="1" t="s">
        <v>130</v>
      </c>
      <c r="B1" s="1" t="s">
        <v>1971</v>
      </c>
      <c r="C1" s="1" t="s">
        <v>1973</v>
      </c>
      <c r="D1" s="1" t="s">
        <v>1972</v>
      </c>
    </row>
    <row r="2" spans="1:6">
      <c r="A2" s="2" t="s">
        <v>131</v>
      </c>
      <c r="B2" s="20">
        <v>44454</v>
      </c>
      <c r="C2" s="2">
        <v>1</v>
      </c>
      <c r="D2" s="66">
        <f>EDATE(B2,C2)</f>
        <v>44484</v>
      </c>
      <c r="E2" s="48"/>
    </row>
    <row r="3" spans="1:6">
      <c r="A3" s="2" t="s">
        <v>132</v>
      </c>
      <c r="B3" s="20">
        <v>44470</v>
      </c>
      <c r="C3" s="2">
        <v>4</v>
      </c>
      <c r="D3" s="66">
        <f>EDATE(B3,C3)</f>
        <v>44593</v>
      </c>
      <c r="E3" s="48"/>
    </row>
    <row r="4" spans="1:6">
      <c r="A4" s="2" t="s">
        <v>133</v>
      </c>
      <c r="B4" s="20">
        <v>44492</v>
      </c>
      <c r="C4" s="2">
        <v>2</v>
      </c>
      <c r="D4" s="66">
        <f>EDATE(B4,C4)</f>
        <v>44553</v>
      </c>
      <c r="E4" s="48"/>
    </row>
    <row r="5" spans="1:6">
      <c r="A5" s="2" t="s">
        <v>134</v>
      </c>
      <c r="B5" s="20">
        <v>44502</v>
      </c>
      <c r="C5" s="2">
        <v>6</v>
      </c>
      <c r="D5" s="66">
        <f>EDATE(B5,C5)</f>
        <v>44683</v>
      </c>
      <c r="E5" s="48"/>
    </row>
    <row r="7" spans="1:6">
      <c r="F7" s="48"/>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1629-E768-4121-9815-D6A11A300A2C}">
  <sheetPr codeName="Sheet208"/>
  <dimension ref="A1:K19"/>
  <sheetViews>
    <sheetView workbookViewId="0">
      <selection activeCell="D2" sqref="D2"/>
    </sheetView>
  </sheetViews>
  <sheetFormatPr defaultRowHeight="14.4"/>
  <cols>
    <col min="1" max="1" width="9.33203125" bestFit="1" customWidth="1"/>
    <col min="2" max="2" width="10.5546875" bestFit="1" customWidth="1"/>
    <col min="4" max="4" width="7.109375" bestFit="1" customWidth="1"/>
    <col min="5" max="5" width="29" bestFit="1" customWidth="1"/>
  </cols>
  <sheetData>
    <row r="1" spans="1:11">
      <c r="A1" s="1" t="s">
        <v>1929</v>
      </c>
      <c r="B1" s="1" t="s">
        <v>1927</v>
      </c>
      <c r="C1" s="14"/>
      <c r="D1" s="1" t="s">
        <v>32</v>
      </c>
      <c r="E1" s="1" t="s">
        <v>1928</v>
      </c>
    </row>
    <row r="2" spans="1:11">
      <c r="A2" s="2" t="s">
        <v>1930</v>
      </c>
      <c r="B2" s="20">
        <v>43861</v>
      </c>
      <c r="C2" s="14"/>
      <c r="D2" s="127">
        <v>43831</v>
      </c>
      <c r="E2" s="128">
        <f>COUNTIFS(($B$2:$B$19),"&gt;="&amp;D2,($B$2:$B$19),"&lt;"&amp;EDATE(D2,1))</f>
        <v>1</v>
      </c>
    </row>
    <row r="3" spans="1:11">
      <c r="A3" s="2" t="s">
        <v>1931</v>
      </c>
      <c r="B3" s="20">
        <v>43890</v>
      </c>
      <c r="C3" s="14"/>
      <c r="D3" s="127">
        <v>43862</v>
      </c>
      <c r="E3" s="128">
        <f t="shared" ref="E3:E13" si="0">COUNTIFS(($B$2:$B$19),"&gt;="&amp;D3,($B$2:$B$19),"&lt;"&amp;EDATE(D3,1))</f>
        <v>1</v>
      </c>
    </row>
    <row r="4" spans="1:11">
      <c r="A4" s="2" t="s">
        <v>1932</v>
      </c>
      <c r="B4" s="20">
        <v>43921</v>
      </c>
      <c r="C4" s="14"/>
      <c r="D4" s="127">
        <v>43891</v>
      </c>
      <c r="E4" s="128">
        <f t="shared" si="0"/>
        <v>2</v>
      </c>
      <c r="I4" s="48"/>
      <c r="K4" s="48"/>
    </row>
    <row r="5" spans="1:11">
      <c r="A5" s="2" t="s">
        <v>1933</v>
      </c>
      <c r="B5" s="20">
        <v>43921</v>
      </c>
      <c r="C5" s="14"/>
      <c r="D5" s="127">
        <v>43922</v>
      </c>
      <c r="E5" s="128">
        <f t="shared" si="0"/>
        <v>1</v>
      </c>
    </row>
    <row r="6" spans="1:11">
      <c r="A6" s="2" t="s">
        <v>1934</v>
      </c>
      <c r="B6" s="20">
        <v>43951</v>
      </c>
      <c r="C6" s="14"/>
      <c r="D6" s="127">
        <v>43952</v>
      </c>
      <c r="E6" s="128">
        <f t="shared" si="0"/>
        <v>1</v>
      </c>
    </row>
    <row r="7" spans="1:11">
      <c r="A7" s="2" t="s">
        <v>1935</v>
      </c>
      <c r="B7" s="20">
        <v>43982</v>
      </c>
      <c r="C7" s="14"/>
      <c r="D7" s="127">
        <v>43983</v>
      </c>
      <c r="E7" s="128">
        <f t="shared" si="0"/>
        <v>1</v>
      </c>
    </row>
    <row r="8" spans="1:11">
      <c r="A8" s="2" t="s">
        <v>1936</v>
      </c>
      <c r="B8" s="20">
        <v>44012</v>
      </c>
      <c r="C8" s="14"/>
      <c r="D8" s="127">
        <v>44013</v>
      </c>
      <c r="E8" s="128">
        <f t="shared" si="0"/>
        <v>2</v>
      </c>
    </row>
    <row r="9" spans="1:11">
      <c r="A9" s="2" t="s">
        <v>1937</v>
      </c>
      <c r="B9" s="20">
        <v>44043</v>
      </c>
      <c r="C9" s="14"/>
      <c r="D9" s="127">
        <v>44044</v>
      </c>
      <c r="E9" s="128">
        <f t="shared" si="0"/>
        <v>1</v>
      </c>
    </row>
    <row r="10" spans="1:11">
      <c r="A10" s="2" t="s">
        <v>1938</v>
      </c>
      <c r="B10" s="20">
        <v>44043</v>
      </c>
      <c r="C10" s="14"/>
      <c r="D10" s="127">
        <v>44075</v>
      </c>
      <c r="E10" s="128">
        <f t="shared" si="0"/>
        <v>1</v>
      </c>
    </row>
    <row r="11" spans="1:11">
      <c r="A11" s="2" t="s">
        <v>1939</v>
      </c>
      <c r="B11" s="20">
        <v>44074</v>
      </c>
      <c r="C11" s="14"/>
      <c r="D11" s="127">
        <v>44105</v>
      </c>
      <c r="E11" s="128">
        <f t="shared" si="0"/>
        <v>2</v>
      </c>
    </row>
    <row r="12" spans="1:11">
      <c r="A12" s="2" t="s">
        <v>1940</v>
      </c>
      <c r="B12" s="20">
        <v>44104</v>
      </c>
      <c r="C12" s="14"/>
      <c r="D12" s="127">
        <v>44136</v>
      </c>
      <c r="E12" s="128">
        <f t="shared" si="0"/>
        <v>2</v>
      </c>
    </row>
    <row r="13" spans="1:11">
      <c r="A13" s="2" t="s">
        <v>1941</v>
      </c>
      <c r="B13" s="20">
        <v>44135</v>
      </c>
      <c r="C13" s="14"/>
      <c r="D13" s="127">
        <v>44166</v>
      </c>
      <c r="E13" s="128">
        <f t="shared" si="0"/>
        <v>3</v>
      </c>
    </row>
    <row r="14" spans="1:11">
      <c r="A14" s="2" t="s">
        <v>1942</v>
      </c>
      <c r="B14" s="20">
        <v>44135</v>
      </c>
    </row>
    <row r="15" spans="1:11">
      <c r="A15" s="2" t="s">
        <v>1943</v>
      </c>
      <c r="B15" s="20">
        <v>44165</v>
      </c>
    </row>
    <row r="16" spans="1:11">
      <c r="A16" s="2" t="s">
        <v>1944</v>
      </c>
      <c r="B16" s="20">
        <v>44165</v>
      </c>
    </row>
    <row r="17" spans="1:2">
      <c r="A17" s="2" t="s">
        <v>1945</v>
      </c>
      <c r="B17" s="20">
        <v>44196</v>
      </c>
    </row>
    <row r="18" spans="1:2">
      <c r="A18" s="2" t="s">
        <v>1946</v>
      </c>
      <c r="B18" s="20">
        <v>44196</v>
      </c>
    </row>
    <row r="19" spans="1:2">
      <c r="A19" s="2" t="s">
        <v>1947</v>
      </c>
      <c r="B19" s="20">
        <v>44196</v>
      </c>
    </row>
  </sheetData>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CAC2-E2D7-4D00-A241-94F7A39A520B}">
  <sheetPr codeName="Sheet209"/>
  <dimension ref="A1:I11"/>
  <sheetViews>
    <sheetView workbookViewId="0">
      <selection activeCell="D2" sqref="D2"/>
    </sheetView>
  </sheetViews>
  <sheetFormatPr defaultRowHeight="14.4"/>
  <cols>
    <col min="1" max="1" width="14.88671875" bestFit="1" customWidth="1"/>
    <col min="2" max="2" width="7.6640625" bestFit="1" customWidth="1"/>
    <col min="3" max="3" width="11.88671875" bestFit="1" customWidth="1"/>
    <col min="4" max="4" width="18.44140625" bestFit="1" customWidth="1"/>
    <col min="6" max="6" width="9.44140625" bestFit="1" customWidth="1"/>
    <col min="7" max="7" width="10.44140625" bestFit="1" customWidth="1"/>
    <col min="9" max="9" width="10.44140625" bestFit="1" customWidth="1"/>
  </cols>
  <sheetData>
    <row r="1" spans="1:9">
      <c r="A1" s="1" t="s">
        <v>155</v>
      </c>
      <c r="B1" s="1" t="s">
        <v>1948</v>
      </c>
      <c r="C1" s="1" t="s">
        <v>1949</v>
      </c>
      <c r="D1" s="1" t="s">
        <v>1950</v>
      </c>
    </row>
    <row r="2" spans="1:9">
      <c r="A2" s="3" t="s">
        <v>1951</v>
      </c>
      <c r="B2" s="2" t="s">
        <v>1961</v>
      </c>
      <c r="C2" s="20">
        <v>22568</v>
      </c>
      <c r="D2" s="128" t="str">
        <f ca="1">IF(YEARFRAC(TODAY(),EDATE(C2,12*60))&lt;=1,"Yes","No")</f>
        <v>No</v>
      </c>
    </row>
    <row r="3" spans="1:9">
      <c r="A3" s="3" t="s">
        <v>1952</v>
      </c>
      <c r="B3" s="2" t="s">
        <v>1965</v>
      </c>
      <c r="C3" s="20">
        <v>29290</v>
      </c>
      <c r="D3" s="128" t="str">
        <f t="shared" ref="D3:D11" ca="1" si="0">IF(YEARFRAC(TODAY(),EDATE(C3,12*60))&lt;=1,"Yes","No")</f>
        <v>No</v>
      </c>
    </row>
    <row r="4" spans="1:9">
      <c r="A4" s="3" t="s">
        <v>1953</v>
      </c>
      <c r="B4" s="2" t="s">
        <v>1966</v>
      </c>
      <c r="C4" s="20">
        <v>30466</v>
      </c>
      <c r="D4" s="128" t="str">
        <f t="shared" ca="1" si="0"/>
        <v>No</v>
      </c>
    </row>
    <row r="5" spans="1:9">
      <c r="A5" s="3" t="s">
        <v>1954</v>
      </c>
      <c r="B5" s="2" t="s">
        <v>1967</v>
      </c>
      <c r="C5" s="20">
        <v>22604</v>
      </c>
      <c r="D5" s="128" t="str">
        <f t="shared" ca="1" si="0"/>
        <v>No</v>
      </c>
      <c r="I5" s="48"/>
    </row>
    <row r="6" spans="1:9">
      <c r="A6" s="3" t="s">
        <v>1955</v>
      </c>
      <c r="B6" s="2" t="s">
        <v>1968</v>
      </c>
      <c r="C6" s="20">
        <v>31301</v>
      </c>
      <c r="D6" s="128" t="str">
        <f t="shared" ca="1" si="0"/>
        <v>No</v>
      </c>
    </row>
    <row r="7" spans="1:9">
      <c r="A7" s="3" t="s">
        <v>1956</v>
      </c>
      <c r="B7" s="2" t="s">
        <v>1969</v>
      </c>
      <c r="C7" s="20">
        <v>31372</v>
      </c>
      <c r="D7" s="128" t="str">
        <f t="shared" ca="1" si="0"/>
        <v>No</v>
      </c>
    </row>
    <row r="8" spans="1:9">
      <c r="A8" s="3" t="s">
        <v>1960</v>
      </c>
      <c r="B8" s="2" t="s">
        <v>1962</v>
      </c>
      <c r="C8" s="20">
        <v>22503</v>
      </c>
      <c r="D8" s="128" t="str">
        <f t="shared" ca="1" si="0"/>
        <v>No</v>
      </c>
    </row>
    <row r="9" spans="1:9">
      <c r="A9" s="3" t="s">
        <v>1957</v>
      </c>
      <c r="B9" s="2" t="s">
        <v>1963</v>
      </c>
      <c r="C9" s="20">
        <v>22615</v>
      </c>
      <c r="D9" s="128" t="str">
        <f t="shared" ca="1" si="0"/>
        <v>No</v>
      </c>
    </row>
    <row r="10" spans="1:9">
      <c r="A10" s="3" t="s">
        <v>1958</v>
      </c>
      <c r="B10" s="2" t="s">
        <v>1970</v>
      </c>
      <c r="C10" s="20">
        <v>31609</v>
      </c>
      <c r="D10" s="128" t="str">
        <f t="shared" ca="1" si="0"/>
        <v>No</v>
      </c>
    </row>
    <row r="11" spans="1:9">
      <c r="A11" s="3" t="s">
        <v>1959</v>
      </c>
      <c r="B11" s="2" t="s">
        <v>1964</v>
      </c>
      <c r="C11" s="20">
        <v>22992</v>
      </c>
      <c r="D11" s="128" t="str">
        <f t="shared" ca="1" si="0"/>
        <v>No</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4CA1-7231-4C83-A482-45FFD9695705}">
  <sheetPr codeName="Sheet210"/>
  <dimension ref="A1:C6"/>
  <sheetViews>
    <sheetView workbookViewId="0"/>
  </sheetViews>
  <sheetFormatPr defaultRowHeight="14.4"/>
  <cols>
    <col min="1" max="1" width="20.88671875" bestFit="1" customWidth="1"/>
    <col min="2" max="2" width="19.88671875" bestFit="1" customWidth="1"/>
    <col min="3" max="3" width="23.5546875" bestFit="1" customWidth="1"/>
  </cols>
  <sheetData>
    <row r="1" spans="1:3">
      <c r="A1" s="1" t="s">
        <v>1976</v>
      </c>
      <c r="B1" s="1" t="s">
        <v>1974</v>
      </c>
      <c r="C1" s="1" t="s">
        <v>1975</v>
      </c>
    </row>
    <row r="2" spans="1:3">
      <c r="A2" s="20">
        <v>44835</v>
      </c>
      <c r="B2" s="2">
        <v>10</v>
      </c>
      <c r="C2" s="66">
        <f>EDATE(A2,12*B2)</f>
        <v>48488</v>
      </c>
    </row>
    <row r="3" spans="1:3">
      <c r="A3" s="20">
        <v>44835</v>
      </c>
      <c r="B3" s="2">
        <v>5</v>
      </c>
      <c r="C3" s="66">
        <f>EDATE(A3,12*B3)</f>
        <v>46661</v>
      </c>
    </row>
    <row r="4" spans="1:3">
      <c r="A4" s="20">
        <v>44835</v>
      </c>
      <c r="B4" s="2">
        <v>2</v>
      </c>
      <c r="C4" s="66">
        <f>EDATE(A4,12*B4)</f>
        <v>45566</v>
      </c>
    </row>
    <row r="5" spans="1:3">
      <c r="A5" s="20">
        <v>44835</v>
      </c>
      <c r="B5" s="2">
        <v>15</v>
      </c>
      <c r="C5" s="66">
        <f>EDATE(A5,12*B5)</f>
        <v>50314</v>
      </c>
    </row>
    <row r="6" spans="1:3">
      <c r="A6" s="20">
        <v>44835</v>
      </c>
      <c r="B6" s="2">
        <v>12</v>
      </c>
      <c r="C6" s="66">
        <f>EDATE(A6,12*B6)</f>
        <v>49218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1892-0070-4842-88BF-086094199945}">
  <sheetPr codeName="Sheet211"/>
  <dimension ref="A1:B9"/>
  <sheetViews>
    <sheetView workbookViewId="0">
      <selection activeCell="B9" sqref="B9"/>
    </sheetView>
  </sheetViews>
  <sheetFormatPr defaultRowHeight="14.4"/>
  <cols>
    <col min="1" max="1" width="22.44140625" bestFit="1" customWidth="1"/>
    <col min="2" max="2" width="18.5546875" bestFit="1" customWidth="1"/>
  </cols>
  <sheetData>
    <row r="1" spans="1:2">
      <c r="A1" s="1" t="s">
        <v>78</v>
      </c>
      <c r="B1" s="1" t="s">
        <v>1983</v>
      </c>
    </row>
    <row r="2" spans="1:2">
      <c r="A2" s="2" t="s">
        <v>1978</v>
      </c>
      <c r="B2" s="15">
        <v>0.52</v>
      </c>
    </row>
    <row r="3" spans="1:2">
      <c r="A3" s="2" t="s">
        <v>1979</v>
      </c>
      <c r="B3" s="15">
        <v>0.51</v>
      </c>
    </row>
    <row r="4" spans="1:2">
      <c r="A4" s="2" t="s">
        <v>1980</v>
      </c>
      <c r="B4" s="15">
        <v>0.51</v>
      </c>
    </row>
    <row r="5" spans="1:2">
      <c r="A5" s="2" t="s">
        <v>1981</v>
      </c>
      <c r="B5" s="15">
        <v>0.5</v>
      </c>
    </row>
    <row r="6" spans="1:2">
      <c r="A6" s="2" t="s">
        <v>1982</v>
      </c>
      <c r="B6" s="15">
        <v>0.49</v>
      </c>
    </row>
    <row r="9" spans="1:2">
      <c r="A9" s="1" t="s">
        <v>2036</v>
      </c>
      <c r="B9" s="129">
        <f>MODE(B2:B6)</f>
        <v>0.51</v>
      </c>
    </row>
  </sheetData>
  <pageMargins left="0.7" right="0.7" top="0.75" bottom="0.75" header="0.3" footer="0.3"/>
  <pageSetup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B6-6DF9-4388-98CE-BF11313643AD}">
  <sheetPr codeName="Sheet212"/>
  <dimension ref="A1:G7"/>
  <sheetViews>
    <sheetView workbookViewId="0">
      <selection activeCell="B9" sqref="B9"/>
    </sheetView>
  </sheetViews>
  <sheetFormatPr defaultRowHeight="14.4"/>
  <cols>
    <col min="2" max="6" width="17" bestFit="1" customWidth="1"/>
    <col min="7" max="7" width="15.88671875" bestFit="1" customWidth="1"/>
  </cols>
  <sheetData>
    <row r="1" spans="1:7">
      <c r="A1" s="1" t="s">
        <v>1984</v>
      </c>
      <c r="B1" s="1" t="s">
        <v>1990</v>
      </c>
      <c r="C1" s="1" t="s">
        <v>1991</v>
      </c>
      <c r="D1" s="1" t="s">
        <v>1992</v>
      </c>
      <c r="E1" s="1" t="s">
        <v>1993</v>
      </c>
      <c r="F1" s="1" t="s">
        <v>1994</v>
      </c>
      <c r="G1" s="1" t="s">
        <v>2001</v>
      </c>
    </row>
    <row r="2" spans="1:7">
      <c r="A2" s="2" t="s">
        <v>1985</v>
      </c>
      <c r="B2" s="2">
        <v>50</v>
      </c>
      <c r="C2" s="2">
        <v>45</v>
      </c>
      <c r="D2" s="2">
        <v>40</v>
      </c>
      <c r="E2" s="2">
        <v>50</v>
      </c>
      <c r="F2" s="2">
        <v>50</v>
      </c>
      <c r="G2" s="7">
        <f>MODE(B2,C2,D2,E2,F2)</f>
        <v>50</v>
      </c>
    </row>
    <row r="3" spans="1:7">
      <c r="A3" s="2" t="s">
        <v>1986</v>
      </c>
      <c r="B3" s="2">
        <v>49</v>
      </c>
      <c r="C3" s="2">
        <v>49</v>
      </c>
      <c r="D3" s="2">
        <v>50</v>
      </c>
      <c r="E3" s="2">
        <v>50</v>
      </c>
      <c r="F3" s="2">
        <v>49</v>
      </c>
      <c r="G3" s="7">
        <f>MODE(B3:F3)</f>
        <v>49</v>
      </c>
    </row>
    <row r="4" spans="1:7">
      <c r="A4" s="2" t="s">
        <v>1987</v>
      </c>
      <c r="B4" s="2">
        <v>23</v>
      </c>
      <c r="C4" s="2">
        <v>20</v>
      </c>
      <c r="D4" s="2"/>
      <c r="E4" s="2"/>
      <c r="F4" s="2">
        <v>20</v>
      </c>
      <c r="G4" s="7">
        <f>MODE(B4:F4)</f>
        <v>20</v>
      </c>
    </row>
    <row r="5" spans="1:7">
      <c r="A5" s="2" t="s">
        <v>1988</v>
      </c>
      <c r="B5" s="2">
        <v>51</v>
      </c>
      <c r="C5" s="2">
        <v>54</v>
      </c>
      <c r="D5" s="2">
        <v>56</v>
      </c>
      <c r="E5" s="2">
        <v>58</v>
      </c>
      <c r="F5" s="2">
        <v>52</v>
      </c>
      <c r="G5" s="7" t="e">
        <f>MODE(B5:F5)</f>
        <v>#N/A</v>
      </c>
    </row>
    <row r="6" spans="1:7">
      <c r="A6" s="2" t="s">
        <v>1989</v>
      </c>
      <c r="B6" s="2" t="s">
        <v>1998</v>
      </c>
      <c r="C6" s="2" t="s">
        <v>1997</v>
      </c>
      <c r="D6" s="2" t="s">
        <v>1996</v>
      </c>
      <c r="E6" s="2" t="s">
        <v>1995</v>
      </c>
      <c r="F6" s="2" t="s">
        <v>1999</v>
      </c>
      <c r="G6" s="7" t="e">
        <f>MODE(B6:F6)</f>
        <v>#N/A</v>
      </c>
    </row>
    <row r="7" spans="1:7">
      <c r="A7" s="2" t="s">
        <v>2000</v>
      </c>
      <c r="B7" s="2" t="b">
        <v>1</v>
      </c>
      <c r="C7" s="2" t="b">
        <v>0</v>
      </c>
      <c r="D7" s="2" t="b">
        <v>1</v>
      </c>
      <c r="E7" s="2" t="b">
        <v>1</v>
      </c>
      <c r="F7" s="2" t="b">
        <v>1</v>
      </c>
      <c r="G7" s="7" t="e">
        <f>MODE(B7:F7)</f>
        <v>#N/A</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B13C-5E97-4BD4-A1FE-15F7CC8E4091}">
  <sheetPr codeName="Sheet213"/>
  <dimension ref="A1:E7"/>
  <sheetViews>
    <sheetView workbookViewId="0">
      <selection activeCell="B9" sqref="B9"/>
    </sheetView>
  </sheetViews>
  <sheetFormatPr defaultRowHeight="14.4"/>
  <cols>
    <col min="2" max="2" width="42.109375" bestFit="1" customWidth="1"/>
    <col min="4" max="4" width="23.44140625" customWidth="1"/>
  </cols>
  <sheetData>
    <row r="1" spans="1:5" ht="36.9" customHeight="1">
      <c r="A1" s="1" t="s">
        <v>2002</v>
      </c>
      <c r="B1" s="1" t="s">
        <v>2009</v>
      </c>
      <c r="D1" s="8" t="s">
        <v>2010</v>
      </c>
      <c r="E1" s="47">
        <f>MODE(B2:B7)</f>
        <v>3</v>
      </c>
    </row>
    <row r="2" spans="1:5">
      <c r="A2" s="2" t="s">
        <v>2003</v>
      </c>
      <c r="B2" s="2">
        <v>3</v>
      </c>
    </row>
    <row r="3" spans="1:5">
      <c r="A3" s="2" t="s">
        <v>2004</v>
      </c>
      <c r="B3" s="2">
        <v>3</v>
      </c>
    </row>
    <row r="4" spans="1:5">
      <c r="A4" s="2" t="s">
        <v>2005</v>
      </c>
      <c r="B4" s="2">
        <v>4</v>
      </c>
    </row>
    <row r="5" spans="1:5">
      <c r="A5" s="2" t="s">
        <v>2006</v>
      </c>
      <c r="B5" s="2">
        <v>4</v>
      </c>
    </row>
    <row r="6" spans="1:5">
      <c r="A6" s="2" t="s">
        <v>2007</v>
      </c>
      <c r="B6" s="2">
        <v>2</v>
      </c>
    </row>
    <row r="7" spans="1:5">
      <c r="A7" s="2" t="s">
        <v>2008</v>
      </c>
      <c r="B7" s="2">
        <v>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ADC8B-A443-48F5-9886-E63A28E4F653}">
  <sheetPr codeName="Sheet214"/>
  <dimension ref="A1:B19"/>
  <sheetViews>
    <sheetView workbookViewId="0">
      <selection activeCell="B9" sqref="B9"/>
    </sheetView>
  </sheetViews>
  <sheetFormatPr defaultRowHeight="14.4"/>
  <cols>
    <col min="1" max="1" width="41.109375" bestFit="1" customWidth="1"/>
    <col min="2" max="2" width="11.88671875" customWidth="1"/>
  </cols>
  <sheetData>
    <row r="1" spans="1:2">
      <c r="A1" s="1" t="s">
        <v>2037</v>
      </c>
      <c r="B1" s="1" t="s">
        <v>352</v>
      </c>
    </row>
    <row r="2" spans="1:2">
      <c r="A2" s="130" t="s">
        <v>2015</v>
      </c>
      <c r="B2" s="2" t="s">
        <v>347</v>
      </c>
    </row>
    <row r="3" spans="1:2">
      <c r="A3" s="130" t="s">
        <v>2016</v>
      </c>
      <c r="B3" s="2" t="s">
        <v>2011</v>
      </c>
    </row>
    <row r="4" spans="1:2">
      <c r="A4" s="130" t="s">
        <v>2017</v>
      </c>
      <c r="B4" s="2" t="s">
        <v>347</v>
      </c>
    </row>
    <row r="5" spans="1:2">
      <c r="A5" s="130" t="s">
        <v>2018</v>
      </c>
      <c r="B5" s="2" t="s">
        <v>1326</v>
      </c>
    </row>
    <row r="6" spans="1:2">
      <c r="A6" s="130" t="s">
        <v>2019</v>
      </c>
      <c r="B6" s="2" t="s">
        <v>347</v>
      </c>
    </row>
    <row r="7" spans="1:2">
      <c r="A7" s="130" t="s">
        <v>2020</v>
      </c>
      <c r="B7" s="2" t="s">
        <v>2012</v>
      </c>
    </row>
    <row r="8" spans="1:2">
      <c r="A8" s="130" t="s">
        <v>2021</v>
      </c>
      <c r="B8" s="2" t="s">
        <v>348</v>
      </c>
    </row>
    <row r="9" spans="1:2">
      <c r="A9" s="130" t="s">
        <v>2022</v>
      </c>
      <c r="B9" s="2" t="s">
        <v>2014</v>
      </c>
    </row>
    <row r="10" spans="1:2">
      <c r="A10" s="130" t="s">
        <v>2023</v>
      </c>
      <c r="B10" s="2" t="s">
        <v>1328</v>
      </c>
    </row>
    <row r="11" spans="1:2">
      <c r="A11" s="130" t="s">
        <v>2024</v>
      </c>
      <c r="B11" s="2" t="s">
        <v>348</v>
      </c>
    </row>
    <row r="12" spans="1:2">
      <c r="A12" s="130" t="s">
        <v>2025</v>
      </c>
      <c r="B12" s="2" t="s">
        <v>2012</v>
      </c>
    </row>
    <row r="13" spans="1:2">
      <c r="A13" s="130" t="s">
        <v>2026</v>
      </c>
      <c r="B13" s="2" t="s">
        <v>2011</v>
      </c>
    </row>
    <row r="14" spans="1:2">
      <c r="A14" s="130" t="s">
        <v>2027</v>
      </c>
      <c r="B14" s="2" t="s">
        <v>1321</v>
      </c>
    </row>
    <row r="15" spans="1:2">
      <c r="A15" s="130" t="s">
        <v>2028</v>
      </c>
      <c r="B15" s="2" t="s">
        <v>1328</v>
      </c>
    </row>
    <row r="16" spans="1:2">
      <c r="A16" s="130" t="s">
        <v>2029</v>
      </c>
      <c r="B16" s="2" t="s">
        <v>2013</v>
      </c>
    </row>
    <row r="19" spans="1:2">
      <c r="A19" s="1" t="s">
        <v>2038</v>
      </c>
      <c r="B19" s="7" t="str">
        <f>INDEX(B2:B16,MODE(MATCH(B2:B16,B2:B16,0)))</f>
        <v>California</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37D8-3A66-4EC1-BDCC-D5164B333777}">
  <sheetPr codeName="Sheet215"/>
  <dimension ref="A1:B14"/>
  <sheetViews>
    <sheetView workbookViewId="0">
      <selection activeCell="B9" sqref="B9"/>
    </sheetView>
  </sheetViews>
  <sheetFormatPr defaultRowHeight="14.4"/>
  <cols>
    <col min="1" max="1" width="19.5546875" bestFit="1" customWidth="1"/>
    <col min="2" max="2" width="20.88671875" bestFit="1" customWidth="1"/>
  </cols>
  <sheetData>
    <row r="1" spans="1:2">
      <c r="A1" s="1" t="s">
        <v>97</v>
      </c>
      <c r="B1" s="1" t="s">
        <v>2030</v>
      </c>
    </row>
    <row r="2" spans="1:2">
      <c r="A2" s="2" t="s">
        <v>101</v>
      </c>
      <c r="B2" s="2">
        <v>35</v>
      </c>
    </row>
    <row r="3" spans="1:2">
      <c r="A3" s="2" t="s">
        <v>394</v>
      </c>
      <c r="B3" s="2">
        <v>45</v>
      </c>
    </row>
    <row r="4" spans="1:2">
      <c r="A4" s="2" t="s">
        <v>395</v>
      </c>
      <c r="B4" s="2">
        <v>44</v>
      </c>
    </row>
    <row r="5" spans="1:2">
      <c r="A5" s="2" t="s">
        <v>396</v>
      </c>
      <c r="B5" s="2">
        <v>49</v>
      </c>
    </row>
    <row r="6" spans="1:2">
      <c r="A6" s="2" t="s">
        <v>397</v>
      </c>
      <c r="B6" s="2">
        <v>49</v>
      </c>
    </row>
    <row r="7" spans="1:2">
      <c r="A7" s="2" t="s">
        <v>98</v>
      </c>
      <c r="B7" s="2">
        <v>48</v>
      </c>
    </row>
    <row r="8" spans="1:2">
      <c r="A8" s="2" t="s">
        <v>99</v>
      </c>
      <c r="B8" s="2">
        <v>45</v>
      </c>
    </row>
    <row r="9" spans="1:2">
      <c r="A9" s="2" t="s">
        <v>100</v>
      </c>
      <c r="B9" s="2">
        <v>40</v>
      </c>
    </row>
    <row r="11" spans="1:2">
      <c r="A11" s="1" t="s">
        <v>2031</v>
      </c>
      <c r="B11" s="7">
        <f>MODE(B2:B9)</f>
        <v>45</v>
      </c>
    </row>
    <row r="12" spans="1:2">
      <c r="A12" s="1" t="s">
        <v>2032</v>
      </c>
      <c r="B12" s="7">
        <f>_xlfn.MODE.SNGL(B2:B9)</f>
        <v>45</v>
      </c>
    </row>
    <row r="13" spans="1:2">
      <c r="A13" s="369" t="s">
        <v>2033</v>
      </c>
      <c r="B13" s="7">
        <f t="array" ref="B13:B14">_xlfn.MODE.MULT(B2:B9)</f>
        <v>45</v>
      </c>
    </row>
    <row r="14" spans="1:2">
      <c r="A14" s="369"/>
      <c r="B14" s="7">
        <v>49</v>
      </c>
    </row>
  </sheetData>
  <mergeCells count="1">
    <mergeCell ref="A13:A14"/>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D05B-55C2-4A63-8C76-73C5DFF3F560}">
  <sheetPr codeName="Sheet216"/>
  <dimension ref="A1:E6"/>
  <sheetViews>
    <sheetView workbookViewId="0"/>
  </sheetViews>
  <sheetFormatPr defaultRowHeight="14.4"/>
  <cols>
    <col min="1" max="1" width="11.6640625" bestFit="1" customWidth="1"/>
    <col min="2" max="2" width="13.5546875" bestFit="1" customWidth="1"/>
    <col min="5" max="5" width="19.6640625" bestFit="1" customWidth="1"/>
  </cols>
  <sheetData>
    <row r="1" spans="1:5">
      <c r="A1" s="1" t="s">
        <v>533</v>
      </c>
      <c r="B1" s="1" t="s">
        <v>2034</v>
      </c>
      <c r="E1" s="1" t="s">
        <v>2035</v>
      </c>
    </row>
    <row r="2" spans="1:5">
      <c r="A2" s="2" t="s">
        <v>340</v>
      </c>
      <c r="B2" s="2">
        <v>2000</v>
      </c>
      <c r="E2" s="7">
        <v>2000</v>
      </c>
    </row>
    <row r="3" spans="1:5">
      <c r="A3" s="2" t="s">
        <v>341</v>
      </c>
      <c r="B3" s="2">
        <v>2500</v>
      </c>
    </row>
    <row r="4" spans="1:5">
      <c r="A4" s="2" t="s">
        <v>342</v>
      </c>
      <c r="B4" s="2">
        <v>2000</v>
      </c>
    </row>
    <row r="5" spans="1:5">
      <c r="A5" s="2" t="s">
        <v>346</v>
      </c>
      <c r="B5" s="2">
        <v>1500</v>
      </c>
    </row>
    <row r="6" spans="1:5">
      <c r="A6" s="2" t="s">
        <v>343</v>
      </c>
      <c r="B6" s="2">
        <v>1100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6D1E-4880-40E1-AE5C-79D6752A3D44}">
  <sheetPr codeName="Sheet217"/>
  <dimension ref="A1:G18"/>
  <sheetViews>
    <sheetView zoomScale="90" zoomScaleNormal="90" workbookViewId="0">
      <selection activeCell="C2" sqref="C2"/>
    </sheetView>
  </sheetViews>
  <sheetFormatPr defaultRowHeight="14.4"/>
  <cols>
    <col min="1" max="1" width="15.109375" customWidth="1"/>
    <col min="2" max="2" width="11.109375" customWidth="1"/>
    <col min="3" max="3" width="14.44140625" customWidth="1"/>
    <col min="4" max="4" width="102.5546875" bestFit="1" customWidth="1"/>
    <col min="6" max="6" width="11.33203125" customWidth="1"/>
    <col min="7" max="7" width="14" customWidth="1"/>
  </cols>
  <sheetData>
    <row r="1" spans="1:7">
      <c r="A1" s="1" t="s">
        <v>533</v>
      </c>
      <c r="B1" s="1" t="s">
        <v>2040</v>
      </c>
      <c r="C1" s="1" t="s">
        <v>2039</v>
      </c>
      <c r="D1" s="25" t="s">
        <v>1475</v>
      </c>
      <c r="F1" s="371" t="s">
        <v>757</v>
      </c>
      <c r="G1" s="373"/>
    </row>
    <row r="2" spans="1:7">
      <c r="A2" s="2" t="s">
        <v>340</v>
      </c>
      <c r="B2" s="2">
        <v>1</v>
      </c>
      <c r="C2" s="7" t="str">
        <f>_xlfn.SWITCH(B2,1,"Fruits",2,"Vegetables",3,"Dairy Products",4,"Grains",5,"Pulses","Not Categorized")</f>
        <v>Fruits</v>
      </c>
      <c r="D2" s="65" t="s">
        <v>2054</v>
      </c>
      <c r="F2" s="1" t="s">
        <v>2040</v>
      </c>
      <c r="G2" s="1" t="s">
        <v>2039</v>
      </c>
    </row>
    <row r="3" spans="1:7">
      <c r="A3" s="2" t="s">
        <v>342</v>
      </c>
      <c r="B3" s="2">
        <v>1</v>
      </c>
      <c r="C3" s="7" t="str">
        <f t="shared" ref="C3:C18" si="0">_xlfn.SWITCH(B3,1,"Fruits",2,"Vegetables",3,"Dairy Products",4,"Grains",5,"Pulses")</f>
        <v>Fruits</v>
      </c>
      <c r="D3" s="65" t="s">
        <v>2055</v>
      </c>
      <c r="F3" s="2">
        <v>1</v>
      </c>
      <c r="G3" s="2" t="s">
        <v>2050</v>
      </c>
    </row>
    <row r="4" spans="1:7">
      <c r="A4" s="2" t="s">
        <v>2046</v>
      </c>
      <c r="B4" s="2">
        <v>5</v>
      </c>
      <c r="C4" s="7" t="str">
        <f t="shared" si="0"/>
        <v>Pulses</v>
      </c>
      <c r="D4" s="65" t="s">
        <v>2056</v>
      </c>
      <c r="F4" s="2">
        <v>2</v>
      </c>
      <c r="G4" s="2" t="s">
        <v>2049</v>
      </c>
    </row>
    <row r="5" spans="1:7">
      <c r="A5" s="2" t="s">
        <v>545</v>
      </c>
      <c r="B5" s="2">
        <v>3</v>
      </c>
      <c r="C5" s="7" t="str">
        <f t="shared" si="0"/>
        <v>Dairy Products</v>
      </c>
      <c r="D5" s="65" t="s">
        <v>2057</v>
      </c>
      <c r="F5" s="2">
        <v>3</v>
      </c>
      <c r="G5" s="2" t="s">
        <v>2053</v>
      </c>
    </row>
    <row r="6" spans="1:7">
      <c r="A6" s="2" t="s">
        <v>2048</v>
      </c>
      <c r="B6" s="2">
        <v>5</v>
      </c>
      <c r="C6" s="7" t="str">
        <f t="shared" si="0"/>
        <v>Pulses</v>
      </c>
      <c r="D6" s="65" t="s">
        <v>2058</v>
      </c>
      <c r="F6" s="2">
        <v>4</v>
      </c>
      <c r="G6" s="2" t="s">
        <v>2051</v>
      </c>
    </row>
    <row r="7" spans="1:7">
      <c r="A7" s="2" t="s">
        <v>2045</v>
      </c>
      <c r="B7" s="2">
        <v>4</v>
      </c>
      <c r="C7" s="7" t="str">
        <f t="shared" si="0"/>
        <v>Grains</v>
      </c>
      <c r="D7" s="65" t="s">
        <v>2059</v>
      </c>
      <c r="F7" s="2">
        <v>5</v>
      </c>
      <c r="G7" s="2" t="s">
        <v>2052</v>
      </c>
    </row>
    <row r="8" spans="1:7">
      <c r="A8" s="2" t="s">
        <v>547</v>
      </c>
      <c r="B8" s="2">
        <v>3</v>
      </c>
      <c r="C8" s="7" t="str">
        <f t="shared" si="0"/>
        <v>Dairy Products</v>
      </c>
      <c r="D8" s="65" t="s">
        <v>2060</v>
      </c>
    </row>
    <row r="9" spans="1:7">
      <c r="A9" s="2" t="s">
        <v>2047</v>
      </c>
      <c r="B9" s="2">
        <v>5</v>
      </c>
      <c r="C9" s="7" t="str">
        <f t="shared" si="0"/>
        <v>Pulses</v>
      </c>
      <c r="D9" s="65" t="s">
        <v>2061</v>
      </c>
    </row>
    <row r="10" spans="1:7">
      <c r="A10" s="2" t="s">
        <v>1823</v>
      </c>
      <c r="B10" s="2">
        <v>3</v>
      </c>
      <c r="C10" s="7" t="str">
        <f t="shared" si="0"/>
        <v>Dairy Products</v>
      </c>
      <c r="D10" s="65" t="s">
        <v>2062</v>
      </c>
    </row>
    <row r="11" spans="1:7">
      <c r="A11" s="2" t="s">
        <v>2043</v>
      </c>
      <c r="B11" s="2">
        <v>4</v>
      </c>
      <c r="C11" s="7" t="str">
        <f t="shared" si="0"/>
        <v>Grains</v>
      </c>
      <c r="D11" s="65" t="s">
        <v>2063</v>
      </c>
    </row>
    <row r="12" spans="1:7">
      <c r="A12" s="2" t="s">
        <v>341</v>
      </c>
      <c r="B12" s="2">
        <v>1</v>
      </c>
      <c r="C12" s="7" t="str">
        <f t="shared" si="0"/>
        <v>Fruits</v>
      </c>
      <c r="D12" s="65" t="s">
        <v>2064</v>
      </c>
    </row>
    <row r="13" spans="1:7">
      <c r="A13" s="2" t="s">
        <v>850</v>
      </c>
      <c r="B13" s="2">
        <v>2</v>
      </c>
      <c r="C13" s="7" t="str">
        <f t="shared" si="0"/>
        <v>Vegetables</v>
      </c>
      <c r="D13" s="65" t="s">
        <v>2065</v>
      </c>
    </row>
    <row r="14" spans="1:7">
      <c r="A14" s="2" t="s">
        <v>2044</v>
      </c>
      <c r="B14" s="2">
        <v>4</v>
      </c>
      <c r="C14" s="7" t="str">
        <f t="shared" si="0"/>
        <v>Grains</v>
      </c>
      <c r="D14" s="65" t="s">
        <v>2066</v>
      </c>
    </row>
    <row r="15" spans="1:7">
      <c r="A15" s="2" t="s">
        <v>849</v>
      </c>
      <c r="B15" s="2">
        <v>2</v>
      </c>
      <c r="C15" s="7" t="str">
        <f t="shared" si="0"/>
        <v>Vegetables</v>
      </c>
      <c r="D15" s="65" t="s">
        <v>2067</v>
      </c>
    </row>
    <row r="16" spans="1:7">
      <c r="A16" s="2" t="s">
        <v>2042</v>
      </c>
      <c r="B16" s="2">
        <v>4</v>
      </c>
      <c r="C16" s="7" t="str">
        <f t="shared" si="0"/>
        <v>Grains</v>
      </c>
      <c r="D16" s="65" t="s">
        <v>2068</v>
      </c>
    </row>
    <row r="17" spans="1:4">
      <c r="A17" s="2" t="s">
        <v>1825</v>
      </c>
      <c r="B17" s="2">
        <v>3</v>
      </c>
      <c r="C17" s="7" t="str">
        <f t="shared" si="0"/>
        <v>Dairy Products</v>
      </c>
      <c r="D17" s="65" t="s">
        <v>2069</v>
      </c>
    </row>
    <row r="18" spans="1:4">
      <c r="A18" s="2" t="s">
        <v>2041</v>
      </c>
      <c r="B18" s="2">
        <v>3</v>
      </c>
      <c r="C18" s="7" t="str">
        <f t="shared" si="0"/>
        <v>Dairy Products</v>
      </c>
      <c r="D18" s="65" t="s">
        <v>2070</v>
      </c>
    </row>
  </sheetData>
  <sortState xmlns:xlrd2="http://schemas.microsoft.com/office/spreadsheetml/2017/richdata2" ref="A2:A18">
    <sortCondition ref="A2"/>
  </sortState>
  <mergeCells count="1">
    <mergeCell ref="F1:G1"/>
  </mergeCells>
  <pageMargins left="0.7" right="0.7" top="0.75" bottom="0.75" header="0.3" footer="0.3"/>
  <pageSetup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8089-BEB1-4C84-BAC9-A1417128B2CD}">
  <sheetPr codeName="Sheet218"/>
  <dimension ref="A1:C11"/>
  <sheetViews>
    <sheetView workbookViewId="0">
      <selection activeCell="C2" sqref="C2"/>
    </sheetView>
  </sheetViews>
  <sheetFormatPr defaultRowHeight="14.4"/>
  <cols>
    <col min="1" max="1" width="13.6640625" bestFit="1" customWidth="1"/>
    <col min="2" max="2" width="31.44140625" bestFit="1" customWidth="1"/>
    <col min="3" max="3" width="19.88671875" bestFit="1" customWidth="1"/>
  </cols>
  <sheetData>
    <row r="1" spans="1:3">
      <c r="A1" s="1" t="s">
        <v>155</v>
      </c>
      <c r="B1" s="1" t="s">
        <v>2082</v>
      </c>
      <c r="C1" s="1" t="s">
        <v>2081</v>
      </c>
    </row>
    <row r="2" spans="1:3">
      <c r="A2" s="3" t="s">
        <v>2071</v>
      </c>
      <c r="B2" s="2">
        <v>3</v>
      </c>
      <c r="C2" s="7" t="str">
        <f>_xlfn.SWITCH(B2,1,"Poor Performance",2,"Needs Improvement",3,"Meets Expectations",4,"Exceeds Requirements",5,"Exceptional Work","No Rating")</f>
        <v>Meets Expectations</v>
      </c>
    </row>
    <row r="3" spans="1:3">
      <c r="A3" s="3" t="s">
        <v>2072</v>
      </c>
      <c r="B3" s="2">
        <v>3</v>
      </c>
      <c r="C3" s="7" t="str">
        <f t="shared" ref="C3:C11" si="0">_xlfn.SWITCH(B3,1,"Poor Performance",2,"Needs Improvement",3,"Meets Expectations",4,"Exceeds Requirements",5,"Exceptional Work","No Rating")</f>
        <v>Meets Expectations</v>
      </c>
    </row>
    <row r="4" spans="1:3">
      <c r="A4" s="3" t="s">
        <v>2073</v>
      </c>
      <c r="B4" s="2">
        <v>4</v>
      </c>
      <c r="C4" s="7" t="str">
        <f t="shared" si="0"/>
        <v>Exceeds Requirements</v>
      </c>
    </row>
    <row r="5" spans="1:3">
      <c r="A5" s="3" t="s">
        <v>2074</v>
      </c>
      <c r="B5" s="2">
        <v>5</v>
      </c>
      <c r="C5" s="7" t="str">
        <f t="shared" si="0"/>
        <v>Exceptional Work</v>
      </c>
    </row>
    <row r="6" spans="1:3">
      <c r="A6" s="3" t="s">
        <v>2075</v>
      </c>
      <c r="B6" s="2">
        <v>1</v>
      </c>
      <c r="C6" s="7" t="str">
        <f t="shared" si="0"/>
        <v>Poor Performance</v>
      </c>
    </row>
    <row r="7" spans="1:3">
      <c r="A7" s="3" t="s">
        <v>2076</v>
      </c>
      <c r="B7" s="2">
        <v>3</v>
      </c>
      <c r="C7" s="7" t="str">
        <f t="shared" si="0"/>
        <v>Meets Expectations</v>
      </c>
    </row>
    <row r="8" spans="1:3">
      <c r="A8" s="3" t="s">
        <v>2077</v>
      </c>
      <c r="B8" s="2">
        <v>2</v>
      </c>
      <c r="C8" s="7" t="str">
        <f t="shared" si="0"/>
        <v>Needs Improvement</v>
      </c>
    </row>
    <row r="9" spans="1:3">
      <c r="A9" s="3" t="s">
        <v>2078</v>
      </c>
      <c r="B9" s="2">
        <v>4</v>
      </c>
      <c r="C9" s="7" t="str">
        <f t="shared" si="0"/>
        <v>Exceeds Requirements</v>
      </c>
    </row>
    <row r="10" spans="1:3">
      <c r="A10" s="3" t="s">
        <v>2079</v>
      </c>
      <c r="B10" s="2">
        <v>4</v>
      </c>
      <c r="C10" s="7" t="str">
        <f t="shared" si="0"/>
        <v>Exceeds Requirements</v>
      </c>
    </row>
    <row r="11" spans="1:3">
      <c r="A11" s="3" t="s">
        <v>2080</v>
      </c>
      <c r="B11" s="2">
        <v>1</v>
      </c>
      <c r="C11" s="7" t="str">
        <f t="shared" si="0"/>
        <v>Poor Performance</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8EDC-FE84-40C0-A921-1335E0D4252B}">
  <sheetPr codeName="Sheet219"/>
  <dimension ref="A1:C11"/>
  <sheetViews>
    <sheetView workbookViewId="0">
      <selection activeCell="C2" sqref="C2"/>
    </sheetView>
  </sheetViews>
  <sheetFormatPr defaultRowHeight="14.4"/>
  <cols>
    <col min="1" max="1" width="14.44140625" bestFit="1" customWidth="1"/>
    <col min="2" max="2" width="13.109375" bestFit="1" customWidth="1"/>
    <col min="3" max="3" width="5.88671875" bestFit="1" customWidth="1"/>
  </cols>
  <sheetData>
    <row r="1" spans="1:3">
      <c r="A1" s="1" t="s">
        <v>0</v>
      </c>
      <c r="B1" s="1" t="s">
        <v>2083</v>
      </c>
      <c r="C1" s="1" t="s">
        <v>1</v>
      </c>
    </row>
    <row r="2" spans="1:3">
      <c r="A2" s="3" t="s">
        <v>2084</v>
      </c>
      <c r="B2" s="2">
        <v>98</v>
      </c>
      <c r="C2" s="57" t="str">
        <f>_xlfn.SWITCH(TRUE,B2&gt;=90,"A",B2&gt;=80,"B",B2&gt;=70,"C",B2&gt;=60,"D","Fail")</f>
        <v>A</v>
      </c>
    </row>
    <row r="3" spans="1:3">
      <c r="A3" s="3" t="s">
        <v>2085</v>
      </c>
      <c r="B3" s="2">
        <v>89</v>
      </c>
      <c r="C3" s="57" t="str">
        <f t="shared" ref="C3:C11" si="0">_xlfn.SWITCH(TRUE,B3&gt;=90,"A",B3&gt;=80,"B",B3&gt;=70,"C",B3&gt;=60,"D","Fail")</f>
        <v>B</v>
      </c>
    </row>
    <row r="4" spans="1:3">
      <c r="A4" s="3" t="s">
        <v>2086</v>
      </c>
      <c r="B4" s="2">
        <v>85</v>
      </c>
      <c r="C4" s="57" t="str">
        <f t="shared" si="0"/>
        <v>B</v>
      </c>
    </row>
    <row r="5" spans="1:3">
      <c r="A5" s="3" t="s">
        <v>2087</v>
      </c>
      <c r="B5" s="2">
        <v>93</v>
      </c>
      <c r="C5" s="57" t="str">
        <f t="shared" si="0"/>
        <v>A</v>
      </c>
    </row>
    <row r="6" spans="1:3">
      <c r="A6" s="3" t="s">
        <v>2088</v>
      </c>
      <c r="B6" s="2">
        <v>65</v>
      </c>
      <c r="C6" s="57" t="str">
        <f t="shared" si="0"/>
        <v>D</v>
      </c>
    </row>
    <row r="7" spans="1:3">
      <c r="A7" s="3" t="s">
        <v>2089</v>
      </c>
      <c r="B7" s="2">
        <v>88</v>
      </c>
      <c r="C7" s="57" t="str">
        <f t="shared" si="0"/>
        <v>B</v>
      </c>
    </row>
    <row r="8" spans="1:3">
      <c r="A8" s="3" t="s">
        <v>2090</v>
      </c>
      <c r="B8" s="2">
        <v>75</v>
      </c>
      <c r="C8" s="57" t="str">
        <f t="shared" si="0"/>
        <v>C</v>
      </c>
    </row>
    <row r="9" spans="1:3">
      <c r="A9" s="3" t="s">
        <v>2091</v>
      </c>
      <c r="B9" s="2">
        <v>90</v>
      </c>
      <c r="C9" s="57" t="str">
        <f t="shared" si="0"/>
        <v>A</v>
      </c>
    </row>
    <row r="10" spans="1:3">
      <c r="A10" s="3" t="s">
        <v>2092</v>
      </c>
      <c r="B10" s="2">
        <v>85</v>
      </c>
      <c r="C10" s="57" t="str">
        <f t="shared" si="0"/>
        <v>B</v>
      </c>
    </row>
    <row r="11" spans="1:3">
      <c r="A11" s="3" t="s">
        <v>2093</v>
      </c>
      <c r="B11" s="2">
        <v>45</v>
      </c>
      <c r="C11" s="57" t="str">
        <f t="shared" si="0"/>
        <v>Fail</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B009-1381-4A50-8C54-EEEA5FFA41FF}">
  <sheetPr codeName="Sheet220"/>
  <dimension ref="A1:E11"/>
  <sheetViews>
    <sheetView workbookViewId="0">
      <selection activeCell="C2" sqref="C2"/>
    </sheetView>
  </sheetViews>
  <sheetFormatPr defaultRowHeight="14.4"/>
  <cols>
    <col min="1" max="1" width="30.6640625" bestFit="1" customWidth="1"/>
    <col min="2" max="2" width="10.44140625" bestFit="1" customWidth="1"/>
    <col min="3" max="3" width="21.44140625" bestFit="1" customWidth="1"/>
    <col min="5" max="5" width="10.44140625" bestFit="1" customWidth="1"/>
  </cols>
  <sheetData>
    <row r="1" spans="1:5">
      <c r="A1" s="1" t="s">
        <v>2094</v>
      </c>
      <c r="B1" s="1" t="s">
        <v>1546</v>
      </c>
      <c r="C1" s="1" t="s">
        <v>2105</v>
      </c>
    </row>
    <row r="2" spans="1:5">
      <c r="A2" s="2" t="s">
        <v>2095</v>
      </c>
      <c r="B2" s="20">
        <v>44571</v>
      </c>
      <c r="C2" s="7" t="str">
        <f>_xlfn.SWITCH(MONTH(B2),1,"Q1",2,"Q1",3,"Q1",4,"Q2",5,"Q2",6,"Q2",7,"Q3",8,"Q3",9,"Q3",10,"Q4",11,"Q4",12,"Q4")</f>
        <v>Q1</v>
      </c>
    </row>
    <row r="3" spans="1:5">
      <c r="A3" s="2" t="s">
        <v>2096</v>
      </c>
      <c r="B3" s="20">
        <v>44628</v>
      </c>
      <c r="C3" s="7" t="str">
        <f t="shared" ref="C3:C11" si="0">_xlfn.SWITCH(MONTH(B3),1,"Q1",2,"Q1",3,"Q1",4,"Q2",5,"Q2",6,"Q2",7,"Q3",8,"Q3",9,"Q3",10,"Q4",11,"Q4",12,"Q4")</f>
        <v>Q1</v>
      </c>
    </row>
    <row r="4" spans="1:5">
      <c r="A4" s="2" t="s">
        <v>2097</v>
      </c>
      <c r="B4" s="20">
        <v>44670</v>
      </c>
      <c r="C4" s="7" t="str">
        <f t="shared" si="0"/>
        <v>Q2</v>
      </c>
    </row>
    <row r="5" spans="1:5">
      <c r="A5" s="2" t="s">
        <v>2098</v>
      </c>
      <c r="B5" s="20">
        <v>44699</v>
      </c>
      <c r="C5" s="7" t="str">
        <f t="shared" si="0"/>
        <v>Q2</v>
      </c>
    </row>
    <row r="6" spans="1:5">
      <c r="A6" s="2" t="s">
        <v>2099</v>
      </c>
      <c r="B6" s="20">
        <v>44754</v>
      </c>
      <c r="C6" s="7" t="str">
        <f t="shared" si="0"/>
        <v>Q3</v>
      </c>
    </row>
    <row r="7" spans="1:5">
      <c r="A7" s="2" t="s">
        <v>2100</v>
      </c>
      <c r="B7" s="20">
        <v>44788</v>
      </c>
      <c r="C7" s="7" t="str">
        <f t="shared" si="0"/>
        <v>Q3</v>
      </c>
    </row>
    <row r="8" spans="1:5">
      <c r="A8" s="2" t="s">
        <v>2101</v>
      </c>
      <c r="B8" s="20">
        <v>44837</v>
      </c>
      <c r="C8" s="7" t="str">
        <f t="shared" si="0"/>
        <v>Q4</v>
      </c>
    </row>
    <row r="9" spans="1:5">
      <c r="A9" s="2" t="s">
        <v>2102</v>
      </c>
      <c r="B9" s="20">
        <v>44854</v>
      </c>
      <c r="C9" s="7" t="str">
        <f t="shared" si="0"/>
        <v>Q4</v>
      </c>
    </row>
    <row r="10" spans="1:5">
      <c r="A10" s="2" t="s">
        <v>2103</v>
      </c>
      <c r="B10" s="20">
        <v>44886</v>
      </c>
      <c r="C10" s="7" t="str">
        <f t="shared" si="0"/>
        <v>Q4</v>
      </c>
    </row>
    <row r="11" spans="1:5">
      <c r="A11" s="2" t="s">
        <v>2104</v>
      </c>
      <c r="B11" s="20">
        <v>44908</v>
      </c>
      <c r="C11" s="7" t="str">
        <f t="shared" si="0"/>
        <v>Q4</v>
      </c>
      <c r="E11" s="132"/>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70-ED3B-43A3-AB56-8918F042362E}">
  <sheetPr codeName="Sheet221"/>
  <dimension ref="A1:B8"/>
  <sheetViews>
    <sheetView workbookViewId="0">
      <selection activeCell="C2" sqref="C2"/>
    </sheetView>
  </sheetViews>
  <sheetFormatPr defaultRowHeight="14.4"/>
  <cols>
    <col min="1" max="1" width="31.109375" bestFit="1" customWidth="1"/>
    <col min="2" max="2" width="10.88671875" bestFit="1" customWidth="1"/>
  </cols>
  <sheetData>
    <row r="1" spans="1:2">
      <c r="A1" s="1" t="s">
        <v>2106</v>
      </c>
      <c r="B1" s="1" t="s">
        <v>352</v>
      </c>
    </row>
    <row r="2" spans="1:2">
      <c r="A2" s="133" t="s">
        <v>2107</v>
      </c>
      <c r="B2" s="7" t="str">
        <f>_xlfn.SWITCH(RIGHT(A2,2),"AK","Alaska","AL","Alabama","AR","Arkansas","AZ","Arizona","CA","California","CO","Colorado","CT","Connecticut","No Data")</f>
        <v>Alabama</v>
      </c>
    </row>
    <row r="3" spans="1:2">
      <c r="A3" s="133" t="s">
        <v>2111</v>
      </c>
      <c r="B3" s="7" t="str">
        <f t="shared" ref="B3:B8" si="0">_xlfn.SWITCH(RIGHT(A3,2),"AK","Alaska","AL","Alabama","AR","Arkansas","AZ","Arizona","CA","California","CO","Colorado","CT","Connecticut","No Data")</f>
        <v>California</v>
      </c>
    </row>
    <row r="4" spans="1:2">
      <c r="A4" s="133" t="s">
        <v>2108</v>
      </c>
      <c r="B4" s="7" t="str">
        <f t="shared" si="0"/>
        <v>Alaska</v>
      </c>
    </row>
    <row r="5" spans="1:2">
      <c r="A5" s="133" t="s">
        <v>2109</v>
      </c>
      <c r="B5" s="7" t="str">
        <f t="shared" si="0"/>
        <v>Arizona</v>
      </c>
    </row>
    <row r="6" spans="1:2">
      <c r="A6" s="133" t="s">
        <v>2113</v>
      </c>
      <c r="B6" s="7" t="str">
        <f t="shared" si="0"/>
        <v>Connecticut</v>
      </c>
    </row>
    <row r="7" spans="1:2">
      <c r="A7" s="133" t="s">
        <v>2112</v>
      </c>
      <c r="B7" s="7" t="str">
        <f t="shared" si="0"/>
        <v>Colorado</v>
      </c>
    </row>
    <row r="8" spans="1:2">
      <c r="A8" s="133" t="s">
        <v>2110</v>
      </c>
      <c r="B8" s="7" t="str">
        <f t="shared" si="0"/>
        <v>Arkansas</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395B-61C0-429E-B417-0D912B0E8344}">
  <sheetPr codeName="Sheet222"/>
  <dimension ref="A1:E18"/>
  <sheetViews>
    <sheetView workbookViewId="0"/>
  </sheetViews>
  <sheetFormatPr defaultRowHeight="14.4"/>
  <cols>
    <col min="1" max="1" width="9.88671875" bestFit="1" customWidth="1"/>
    <col min="3" max="4" width="13.88671875" bestFit="1" customWidth="1"/>
    <col min="5" max="5" width="107.5546875" customWidth="1"/>
  </cols>
  <sheetData>
    <row r="1" spans="1:5">
      <c r="A1" s="1" t="s">
        <v>32</v>
      </c>
      <c r="C1" s="1" t="s">
        <v>2116</v>
      </c>
      <c r="D1" s="369" t="s">
        <v>32</v>
      </c>
      <c r="E1" s="369"/>
    </row>
    <row r="2" spans="1:5">
      <c r="A2" s="2" t="s">
        <v>47</v>
      </c>
      <c r="C2" s="134">
        <v>4</v>
      </c>
      <c r="D2" s="2" t="s">
        <v>2117</v>
      </c>
      <c r="E2" s="7" t="str">
        <f>_xlfn.SWITCH(C2,1,A2,2,A3,3,A4,4,A5,5,A6,6,A7,7,A8,8,A9,9,A10,10,A11,11,A12,12,A13)</f>
        <v>April</v>
      </c>
    </row>
    <row r="3" spans="1:5">
      <c r="A3" s="2" t="s">
        <v>48</v>
      </c>
      <c r="D3" s="2" t="s">
        <v>2118</v>
      </c>
      <c r="E3" s="7" t="str">
        <f>_xlfn.IFS(C2=1,A2,C2=2,A3,C2=3,A4,C2=4,A5,C2=5,A6,C2=6,A7,C2=7,A8,C2=8,A9,C2=9,A10,C2=10,A11,C2=11,A12,C2=12,A13)</f>
        <v>April</v>
      </c>
    </row>
    <row r="4" spans="1:5">
      <c r="A4" s="2" t="s">
        <v>49</v>
      </c>
    </row>
    <row r="5" spans="1:5">
      <c r="A5" s="2" t="s">
        <v>50</v>
      </c>
      <c r="E5" s="131"/>
    </row>
    <row r="6" spans="1:5">
      <c r="A6" s="2" t="s">
        <v>51</v>
      </c>
    </row>
    <row r="7" spans="1:5">
      <c r="A7" s="2" t="s">
        <v>52</v>
      </c>
    </row>
    <row r="8" spans="1:5">
      <c r="A8" s="2" t="s">
        <v>53</v>
      </c>
    </row>
    <row r="9" spans="1:5">
      <c r="A9" s="2" t="s">
        <v>54</v>
      </c>
    </row>
    <row r="10" spans="1:5">
      <c r="A10" s="2" t="s">
        <v>55</v>
      </c>
    </row>
    <row r="11" spans="1:5">
      <c r="A11" s="2" t="s">
        <v>56</v>
      </c>
    </row>
    <row r="12" spans="1:5">
      <c r="A12" s="2" t="s">
        <v>57</v>
      </c>
    </row>
    <row r="13" spans="1:5">
      <c r="A13" s="2" t="s">
        <v>58</v>
      </c>
    </row>
    <row r="17" spans="5:5">
      <c r="E17" s="135" t="s">
        <v>2114</v>
      </c>
    </row>
    <row r="18" spans="5:5">
      <c r="E18" s="135" t="s">
        <v>2115</v>
      </c>
    </row>
  </sheetData>
  <mergeCells count="1">
    <mergeCell ref="D1:E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D023-63D0-4EF5-AF27-67269EF60A6B}">
  <sheetPr codeName="Sheet223"/>
  <dimension ref="A1:G5"/>
  <sheetViews>
    <sheetView zoomScale="84" zoomScaleNormal="84" workbookViewId="0">
      <selection activeCell="F2" sqref="F2"/>
    </sheetView>
  </sheetViews>
  <sheetFormatPr defaultRowHeight="14.4"/>
  <cols>
    <col min="1" max="1" width="5.6640625" bestFit="1" customWidth="1"/>
    <col min="2" max="4" width="23" bestFit="1" customWidth="1"/>
    <col min="5" max="5" width="51.33203125" style="121" customWidth="1"/>
    <col min="6" max="6" width="30.88671875" bestFit="1" customWidth="1"/>
    <col min="7" max="7" width="34.44140625" bestFit="1" customWidth="1"/>
  </cols>
  <sheetData>
    <row r="1" spans="1:7">
      <c r="A1" s="1" t="s">
        <v>1984</v>
      </c>
      <c r="B1" s="1" t="s">
        <v>2119</v>
      </c>
      <c r="C1" s="1" t="s">
        <v>2120</v>
      </c>
      <c r="D1" s="1" t="s">
        <v>2121</v>
      </c>
      <c r="E1" s="8" t="s">
        <v>664</v>
      </c>
      <c r="F1" s="1" t="s">
        <v>2168</v>
      </c>
      <c r="G1" s="25" t="s">
        <v>2125</v>
      </c>
    </row>
    <row r="2" spans="1:7">
      <c r="A2" s="2" t="s">
        <v>1985</v>
      </c>
      <c r="B2" s="2">
        <v>2000</v>
      </c>
      <c r="C2" s="2">
        <v>1000</v>
      </c>
      <c r="D2" s="2">
        <v>3000</v>
      </c>
      <c r="E2" s="107" t="s">
        <v>2122</v>
      </c>
      <c r="F2" s="7" t="b">
        <f>_xlfn.XOR(C2&gt;B2,D2&gt;C2)</f>
        <v>1</v>
      </c>
      <c r="G2" s="65" t="s">
        <v>2126</v>
      </c>
    </row>
    <row r="3" spans="1:7">
      <c r="A3" s="2" t="s">
        <v>1986</v>
      </c>
      <c r="B3" s="2">
        <v>400</v>
      </c>
      <c r="C3" s="2">
        <v>450</v>
      </c>
      <c r="D3" s="2">
        <v>300</v>
      </c>
      <c r="E3" s="107" t="s">
        <v>2122</v>
      </c>
      <c r="F3" s="7" t="b">
        <f>_xlfn.XOR(C3&gt;B3,D3&gt;C3)</f>
        <v>1</v>
      </c>
      <c r="G3" s="65" t="s">
        <v>2127</v>
      </c>
    </row>
    <row r="4" spans="1:7">
      <c r="A4" s="2" t="s">
        <v>1987</v>
      </c>
      <c r="B4" s="2">
        <v>100</v>
      </c>
      <c r="C4" s="2">
        <v>200</v>
      </c>
      <c r="D4" s="2">
        <v>300</v>
      </c>
      <c r="E4" s="107" t="s">
        <v>2123</v>
      </c>
      <c r="F4" s="7" t="b">
        <f>_xlfn.XOR(C4&gt;B4,D4&gt;C4)</f>
        <v>0</v>
      </c>
      <c r="G4" s="65" t="s">
        <v>2128</v>
      </c>
    </row>
    <row r="5" spans="1:7">
      <c r="A5" s="2" t="s">
        <v>1988</v>
      </c>
      <c r="B5" s="2">
        <v>70</v>
      </c>
      <c r="C5" s="2">
        <v>50</v>
      </c>
      <c r="D5" s="2">
        <v>20</v>
      </c>
      <c r="E5" s="107" t="s">
        <v>2124</v>
      </c>
      <c r="F5" s="7" t="b">
        <f>_xlfn.XOR(C5&gt;B5,D5&gt;C5)</f>
        <v>0</v>
      </c>
      <c r="G5" s="65" t="s">
        <v>2129</v>
      </c>
    </row>
  </sheetData>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ED83-ACF9-4C70-B0F9-109502DE9CF3}">
  <sheetPr codeName="Sheet224"/>
  <dimension ref="A1:C8"/>
  <sheetViews>
    <sheetView workbookViewId="0">
      <selection activeCell="F2" sqref="F2"/>
    </sheetView>
  </sheetViews>
  <sheetFormatPr defaultRowHeight="14.4"/>
  <cols>
    <col min="1" max="2" width="7" bestFit="1" customWidth="1"/>
    <col min="3" max="3" width="12.109375" customWidth="1"/>
  </cols>
  <sheetData>
    <row r="1" spans="1:3">
      <c r="A1" s="1" t="s">
        <v>9</v>
      </c>
      <c r="B1" s="1" t="s">
        <v>10</v>
      </c>
      <c r="C1" s="1" t="s">
        <v>2130</v>
      </c>
    </row>
    <row r="2" spans="1:3">
      <c r="A2" s="2">
        <v>0</v>
      </c>
      <c r="B2" s="2">
        <v>1</v>
      </c>
      <c r="C2" s="7" t="b">
        <f>_xlfn.XOR(A2,B2)</f>
        <v>1</v>
      </c>
    </row>
    <row r="3" spans="1:3">
      <c r="A3" s="2">
        <v>1</v>
      </c>
      <c r="B3" s="2">
        <v>0</v>
      </c>
      <c r="C3" s="7" t="b">
        <f t="shared" ref="C3:C8" si="0">_xlfn.XOR(A3,B3)</f>
        <v>1</v>
      </c>
    </row>
    <row r="4" spans="1:3">
      <c r="A4" s="2">
        <v>1</v>
      </c>
      <c r="B4" s="2">
        <v>1</v>
      </c>
      <c r="C4" s="7" t="b">
        <f t="shared" si="0"/>
        <v>0</v>
      </c>
    </row>
    <row r="5" spans="1:3">
      <c r="A5" s="2">
        <v>0</v>
      </c>
      <c r="B5" s="2">
        <v>0</v>
      </c>
      <c r="C5" s="7" t="b">
        <f t="shared" si="0"/>
        <v>0</v>
      </c>
    </row>
    <row r="6" spans="1:3">
      <c r="A6" s="2" t="s">
        <v>758</v>
      </c>
      <c r="B6" s="2">
        <v>1</v>
      </c>
      <c r="C6" s="7" t="b">
        <f t="shared" si="0"/>
        <v>1</v>
      </c>
    </row>
    <row r="7" spans="1:3">
      <c r="A7" s="2">
        <v>0</v>
      </c>
      <c r="B7" s="2"/>
      <c r="C7" s="7" t="b">
        <f t="shared" si="0"/>
        <v>0</v>
      </c>
    </row>
    <row r="8" spans="1:3">
      <c r="A8" s="2" t="s">
        <v>2131</v>
      </c>
      <c r="B8" s="2" t="s">
        <v>2132</v>
      </c>
      <c r="C8" s="7" t="e">
        <f t="shared" si="0"/>
        <v>#VALUE!</v>
      </c>
    </row>
  </sheetData>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6F0B9-0424-4FA0-A19D-CA77E16D0059}">
  <sheetPr codeName="Sheet225"/>
  <dimension ref="A1:F6"/>
  <sheetViews>
    <sheetView workbookViewId="0">
      <selection activeCell="F2" sqref="F2"/>
    </sheetView>
  </sheetViews>
  <sheetFormatPr defaultRowHeight="14.4"/>
  <cols>
    <col min="1" max="5" width="13.109375" bestFit="1" customWidth="1"/>
    <col min="6" max="6" width="12.109375" bestFit="1" customWidth="1"/>
  </cols>
  <sheetData>
    <row r="1" spans="1:6">
      <c r="A1" s="1" t="s">
        <v>2133</v>
      </c>
      <c r="B1" s="1" t="s">
        <v>2134</v>
      </c>
      <c r="C1" s="1" t="s">
        <v>2135</v>
      </c>
      <c r="D1" s="1" t="s">
        <v>2136</v>
      </c>
      <c r="E1" s="1" t="s">
        <v>2137</v>
      </c>
      <c r="F1" s="1" t="s">
        <v>2130</v>
      </c>
    </row>
    <row r="2" spans="1:6">
      <c r="A2" s="21" t="s">
        <v>2138</v>
      </c>
      <c r="B2" s="21" t="s">
        <v>2139</v>
      </c>
      <c r="C2" s="2" t="b">
        <v>1</v>
      </c>
      <c r="D2" s="2">
        <v>1</v>
      </c>
      <c r="E2" s="2">
        <v>15</v>
      </c>
      <c r="F2" s="7" t="b">
        <f>_xlfn.XOR(10&gt;20,10=20,TRUE,1,15)</f>
        <v>1</v>
      </c>
    </row>
    <row r="3" spans="1:6">
      <c r="A3" s="2" t="s">
        <v>2140</v>
      </c>
      <c r="B3" s="2" t="s">
        <v>2141</v>
      </c>
      <c r="C3" s="2" t="b">
        <v>1</v>
      </c>
      <c r="D3" s="2" t="b">
        <v>0</v>
      </c>
      <c r="E3" s="2">
        <v>0</v>
      </c>
      <c r="F3" s="7" t="b">
        <f>_xlfn.XOR(9&lt;=23,1&gt;-45,TRUE, FALSE,0)</f>
        <v>1</v>
      </c>
    </row>
    <row r="4" spans="1:6">
      <c r="A4" s="2" t="s">
        <v>2142</v>
      </c>
      <c r="B4" s="2" t="b">
        <v>0</v>
      </c>
      <c r="C4" s="2" t="b">
        <v>0</v>
      </c>
      <c r="D4" s="2" t="b">
        <v>0</v>
      </c>
      <c r="E4" s="2" t="b">
        <v>0</v>
      </c>
      <c r="F4" s="7" t="b">
        <f>_xlfn.XOR(30=30,B4:E4)</f>
        <v>1</v>
      </c>
    </row>
    <row r="5" spans="1:6">
      <c r="A5" s="2" t="b">
        <v>1</v>
      </c>
      <c r="B5" s="2" t="b">
        <v>1</v>
      </c>
      <c r="C5" s="2" t="b">
        <v>1</v>
      </c>
      <c r="D5" s="2" t="s">
        <v>2143</v>
      </c>
      <c r="E5" s="2" t="s">
        <v>2144</v>
      </c>
      <c r="F5" s="7" t="b">
        <f>_xlfn.XOR(A5:C5,10&lt;&gt;20,90&gt;60)</f>
        <v>1</v>
      </c>
    </row>
    <row r="6" spans="1:6">
      <c r="A6" s="2" t="b">
        <v>1</v>
      </c>
      <c r="B6" s="2" t="b">
        <v>1</v>
      </c>
      <c r="C6" s="2" t="b">
        <v>0</v>
      </c>
      <c r="D6" s="2" t="b">
        <v>0</v>
      </c>
      <c r="E6" s="2" t="b">
        <v>0</v>
      </c>
      <c r="F6" s="7" t="b">
        <f>_xlfn.XOR(A6:E6)</f>
        <v>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325D-A88B-46B1-9777-38A7AD36E1F2}">
  <sheetPr codeName="Sheet226"/>
  <dimension ref="A1:D6"/>
  <sheetViews>
    <sheetView workbookViewId="0">
      <selection activeCell="F2" sqref="F2"/>
    </sheetView>
  </sheetViews>
  <sheetFormatPr defaultRowHeight="14.4"/>
  <cols>
    <col min="1" max="1" width="9.5546875" bestFit="1" customWidth="1"/>
    <col min="4" max="4" width="27.6640625" bestFit="1" customWidth="1"/>
  </cols>
  <sheetData>
    <row r="1" spans="1:4">
      <c r="A1" s="1" t="s">
        <v>2145</v>
      </c>
      <c r="B1" s="1" t="s">
        <v>2151</v>
      </c>
      <c r="C1" s="1" t="s">
        <v>2152</v>
      </c>
      <c r="D1" s="1" t="s">
        <v>2155</v>
      </c>
    </row>
    <row r="2" spans="1:4">
      <c r="A2" s="2" t="s">
        <v>2146</v>
      </c>
      <c r="B2" s="2" t="s">
        <v>2153</v>
      </c>
      <c r="C2" s="2" t="s">
        <v>2154</v>
      </c>
      <c r="D2" s="7" t="str">
        <f>IF(_xlfn.XOR(B2="WON",C2="WON"),"YES","NO")</f>
        <v>YES</v>
      </c>
    </row>
    <row r="3" spans="1:4">
      <c r="A3" s="2" t="s">
        <v>2147</v>
      </c>
      <c r="B3" s="2" t="s">
        <v>2153</v>
      </c>
      <c r="C3" s="2" t="s">
        <v>2153</v>
      </c>
      <c r="D3" s="7" t="str">
        <f>IF(_xlfn.XOR(B3="WON",C3="WON"),"YES","NO")</f>
        <v>NO</v>
      </c>
    </row>
    <row r="4" spans="1:4">
      <c r="A4" s="2" t="s">
        <v>2148</v>
      </c>
      <c r="B4" s="2" t="s">
        <v>2154</v>
      </c>
      <c r="C4" s="2" t="s">
        <v>2153</v>
      </c>
      <c r="D4" s="7" t="str">
        <f>IF(_xlfn.XOR(B4="WON",C4="WON"),"YES","NO")</f>
        <v>YES</v>
      </c>
    </row>
    <row r="5" spans="1:4">
      <c r="A5" s="2" t="s">
        <v>2149</v>
      </c>
      <c r="B5" s="2" t="s">
        <v>2154</v>
      </c>
      <c r="C5" s="2" t="s">
        <v>2154</v>
      </c>
      <c r="D5" s="7" t="str">
        <f>IF(_xlfn.XOR(B5="WON",C5="WON"),"YES","NO")</f>
        <v>NO</v>
      </c>
    </row>
    <row r="6" spans="1:4">
      <c r="A6" s="2" t="s">
        <v>2150</v>
      </c>
      <c r="B6" s="2" t="s">
        <v>2154</v>
      </c>
      <c r="C6" s="2" t="s">
        <v>2153</v>
      </c>
      <c r="D6" s="7" t="str">
        <f>IF(_xlfn.XOR(B6="WON",C6="WON"),"YES","NO")</f>
        <v>YES</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CEA5-7E11-43C0-829F-81974C68B6D6}">
  <sheetPr codeName="Sheet227"/>
  <dimension ref="A1:B9"/>
  <sheetViews>
    <sheetView workbookViewId="0">
      <selection activeCell="F2" sqref="F2"/>
    </sheetView>
  </sheetViews>
  <sheetFormatPr defaultRowHeight="14.4"/>
  <cols>
    <col min="1" max="1" width="18" bestFit="1" customWidth="1"/>
    <col min="2" max="2" width="12.109375" bestFit="1" customWidth="1"/>
  </cols>
  <sheetData>
    <row r="1" spans="1:2">
      <c r="A1" s="1" t="s">
        <v>2159</v>
      </c>
      <c r="B1" s="1" t="s">
        <v>606</v>
      </c>
    </row>
    <row r="2" spans="1:2">
      <c r="A2" s="2" t="s">
        <v>2156</v>
      </c>
      <c r="B2" s="2">
        <v>100</v>
      </c>
    </row>
    <row r="3" spans="1:2">
      <c r="A3" s="2" t="s">
        <v>2157</v>
      </c>
      <c r="B3" s="2">
        <v>50</v>
      </c>
    </row>
    <row r="4" spans="1:2">
      <c r="A4" s="2" t="s">
        <v>2158</v>
      </c>
      <c r="B4" s="2">
        <v>25</v>
      </c>
    </row>
    <row r="6" spans="1:2">
      <c r="A6" s="1" t="s">
        <v>2160</v>
      </c>
      <c r="B6" s="1" t="s">
        <v>2130</v>
      </c>
    </row>
    <row r="7" spans="1:2">
      <c r="A7" s="2" t="s">
        <v>2161</v>
      </c>
      <c r="B7" s="7" t="b">
        <v>0</v>
      </c>
    </row>
    <row r="8" spans="1:2">
      <c r="A8" s="2" t="s">
        <v>2162</v>
      </c>
      <c r="B8" s="7" t="b">
        <v>1</v>
      </c>
    </row>
    <row r="9" spans="1:2">
      <c r="A9" s="2" t="s">
        <v>2163</v>
      </c>
      <c r="B9" s="7" t="b">
        <v>0</v>
      </c>
    </row>
  </sheetData>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D724-7F90-40D0-A957-7D7D7C49AD5B}">
  <sheetPr codeName="Sheet228"/>
  <dimension ref="A1:B5"/>
  <sheetViews>
    <sheetView workbookViewId="0"/>
  </sheetViews>
  <sheetFormatPr defaultRowHeight="14.4"/>
  <sheetData>
    <row r="1" spans="1:2">
      <c r="A1" s="1" t="s">
        <v>2164</v>
      </c>
      <c r="B1" s="1" t="s">
        <v>2165</v>
      </c>
    </row>
    <row r="2" spans="1:2">
      <c r="A2" s="2">
        <v>1</v>
      </c>
      <c r="B2" s="2">
        <v>1</v>
      </c>
    </row>
    <row r="4" spans="1:2">
      <c r="A4" s="1" t="s">
        <v>2166</v>
      </c>
      <c r="B4" s="7" t="b">
        <f>OR(A2:B2)</f>
        <v>1</v>
      </c>
    </row>
    <row r="5" spans="1:2">
      <c r="A5" s="1" t="s">
        <v>2167</v>
      </c>
      <c r="B5" s="7" t="b">
        <f>_xlfn.XOR(A2:B2)</f>
        <v>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8454-DC9E-4769-BECB-A6FA7D8BA25D}">
  <sheetPr codeName="Sheet229"/>
  <dimension ref="A1:C12"/>
  <sheetViews>
    <sheetView workbookViewId="0">
      <selection activeCell="F22" activeCellId="1" sqref="B2 F22"/>
    </sheetView>
  </sheetViews>
  <sheetFormatPr defaultRowHeight="14.4"/>
  <cols>
    <col min="1" max="1" width="10.44140625" bestFit="1" customWidth="1"/>
    <col min="2" max="2" width="15.6640625" bestFit="1" customWidth="1"/>
    <col min="3" max="3" width="30.44140625" bestFit="1" customWidth="1"/>
  </cols>
  <sheetData>
    <row r="1" spans="1:3">
      <c r="A1" s="1" t="s">
        <v>606</v>
      </c>
      <c r="B1" s="1" t="s">
        <v>2170</v>
      </c>
      <c r="C1" s="1" t="s">
        <v>1145</v>
      </c>
    </row>
    <row r="2" spans="1:3">
      <c r="A2" s="2" t="s">
        <v>2169</v>
      </c>
      <c r="B2" s="7" t="b">
        <f>ISERROR(A2)</f>
        <v>0</v>
      </c>
      <c r="C2" s="65" t="s">
        <v>2171</v>
      </c>
    </row>
    <row r="3" spans="1:3">
      <c r="A3" s="2" t="e">
        <v>#REF!</v>
      </c>
      <c r="B3" s="7" t="b">
        <f t="shared" ref="B3:B12" si="0">ISERROR(A3)</f>
        <v>1</v>
      </c>
      <c r="C3" s="65" t="s">
        <v>2172</v>
      </c>
    </row>
    <row r="4" spans="1:3">
      <c r="A4" s="20">
        <v>44809</v>
      </c>
      <c r="B4" s="7" t="b">
        <f t="shared" si="0"/>
        <v>0</v>
      </c>
      <c r="C4" s="65" t="s">
        <v>2173</v>
      </c>
    </row>
    <row r="5" spans="1:3">
      <c r="A5" s="2" t="e">
        <v>#VALUE!</v>
      </c>
      <c r="B5" s="7" t="b">
        <f t="shared" si="0"/>
        <v>1</v>
      </c>
      <c r="C5" s="65" t="s">
        <v>2174</v>
      </c>
    </row>
    <row r="6" spans="1:3">
      <c r="A6" s="2" t="e">
        <v>#DIV/0!</v>
      </c>
      <c r="B6" s="7" t="b">
        <f t="shared" si="0"/>
        <v>1</v>
      </c>
      <c r="C6" s="65" t="s">
        <v>2175</v>
      </c>
    </row>
    <row r="7" spans="1:3">
      <c r="A7" s="136">
        <v>50000</v>
      </c>
      <c r="B7" s="7" t="b">
        <f t="shared" si="0"/>
        <v>0</v>
      </c>
      <c r="C7" s="65" t="s">
        <v>2176</v>
      </c>
    </row>
    <row r="8" spans="1:3">
      <c r="A8" s="2" t="e">
        <v>#NAME?</v>
      </c>
      <c r="B8" s="7" t="b">
        <f t="shared" si="0"/>
        <v>1</v>
      </c>
      <c r="C8" s="65" t="s">
        <v>2177</v>
      </c>
    </row>
    <row r="9" spans="1:3">
      <c r="A9" s="2">
        <v>1000000</v>
      </c>
      <c r="B9" s="7" t="b">
        <f t="shared" si="0"/>
        <v>0</v>
      </c>
      <c r="C9" s="65" t="s">
        <v>2178</v>
      </c>
    </row>
    <row r="10" spans="1:3">
      <c r="A10" s="82">
        <v>0.5</v>
      </c>
      <c r="B10" s="7" t="b">
        <f t="shared" si="0"/>
        <v>0</v>
      </c>
      <c r="C10" s="65" t="s">
        <v>2179</v>
      </c>
    </row>
    <row r="11" spans="1:3">
      <c r="A11" s="2" t="e">
        <v>#NUM!</v>
      </c>
      <c r="B11" s="7" t="b">
        <f t="shared" si="0"/>
        <v>1</v>
      </c>
      <c r="C11" s="65" t="s">
        <v>2180</v>
      </c>
    </row>
    <row r="12" spans="1:3">
      <c r="A12" s="2" t="e">
        <v>#N/A</v>
      </c>
      <c r="B12" s="7" t="b">
        <f t="shared" si="0"/>
        <v>1</v>
      </c>
      <c r="C12" s="65" t="s">
        <v>2181</v>
      </c>
    </row>
  </sheetData>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B30-E2E6-4D11-828E-4099F5ACF46E}">
  <sheetPr codeName="Sheet230"/>
  <dimension ref="A1:F6"/>
  <sheetViews>
    <sheetView workbookViewId="0">
      <selection activeCell="F22" activeCellId="1" sqref="B2 F22"/>
    </sheetView>
  </sheetViews>
  <sheetFormatPr defaultRowHeight="14.4"/>
  <cols>
    <col min="3" max="3" width="12.33203125" bestFit="1" customWidth="1"/>
    <col min="4" max="4" width="11.88671875" bestFit="1" customWidth="1"/>
    <col min="5" max="5" width="27.88671875" bestFit="1" customWidth="1"/>
    <col min="6" max="6" width="17.88671875" bestFit="1" customWidth="1"/>
  </cols>
  <sheetData>
    <row r="1" spans="1:6">
      <c r="A1" s="1" t="s">
        <v>9</v>
      </c>
      <c r="B1" s="1" t="s">
        <v>10</v>
      </c>
      <c r="C1" s="1" t="s">
        <v>1138</v>
      </c>
      <c r="D1" s="1" t="s">
        <v>1738</v>
      </c>
      <c r="E1" s="1" t="s">
        <v>1977</v>
      </c>
      <c r="F1" s="1" t="s">
        <v>2188</v>
      </c>
    </row>
    <row r="2" spans="1:6">
      <c r="A2" s="61">
        <v>10</v>
      </c>
      <c r="B2" s="61">
        <v>20</v>
      </c>
      <c r="C2" s="61" t="s">
        <v>2185</v>
      </c>
      <c r="D2" s="61" t="e">
        <f>SUM(A2 B2)</f>
        <v>#NULL!</v>
      </c>
      <c r="E2" s="61" t="s">
        <v>2189</v>
      </c>
      <c r="F2" s="7" t="b">
        <f>ISERROR(D2)</f>
        <v>1</v>
      </c>
    </row>
    <row r="3" spans="1:6">
      <c r="A3" s="2" t="s">
        <v>1185</v>
      </c>
      <c r="B3" s="2" t="s">
        <v>2182</v>
      </c>
      <c r="C3" s="2" t="s">
        <v>2184</v>
      </c>
      <c r="D3" s="2" t="e">
        <f>A3-B3</f>
        <v>#VALUE!</v>
      </c>
      <c r="E3" s="61" t="s">
        <v>2190</v>
      </c>
      <c r="F3" s="7" t="b">
        <f>ISERROR(D3)</f>
        <v>1</v>
      </c>
    </row>
    <row r="4" spans="1:6">
      <c r="A4" s="2">
        <v>40</v>
      </c>
      <c r="B4" s="2">
        <v>20</v>
      </c>
      <c r="C4" s="2" t="s">
        <v>2187</v>
      </c>
      <c r="D4" s="2">
        <f>A4*B4</f>
        <v>800</v>
      </c>
      <c r="E4" s="61" t="s">
        <v>2191</v>
      </c>
      <c r="F4" s="7" t="b">
        <f>ISERROR(D4)</f>
        <v>0</v>
      </c>
    </row>
    <row r="5" spans="1:6">
      <c r="A5" s="2">
        <v>1</v>
      </c>
      <c r="B5" s="2">
        <v>0</v>
      </c>
      <c r="C5" s="2" t="s">
        <v>2183</v>
      </c>
      <c r="D5" s="2" t="e">
        <f>A5/B5</f>
        <v>#DIV/0!</v>
      </c>
      <c r="E5" s="61" t="s">
        <v>2192</v>
      </c>
      <c r="F5" s="7" t="b">
        <f>ISERROR(D5)</f>
        <v>1</v>
      </c>
    </row>
    <row r="6" spans="1:6">
      <c r="A6" s="2">
        <v>5</v>
      </c>
      <c r="B6" s="2">
        <v>600</v>
      </c>
      <c r="C6" s="2" t="s">
        <v>2186</v>
      </c>
      <c r="D6" s="2" t="e">
        <f>A6^B6</f>
        <v>#NUM!</v>
      </c>
      <c r="E6" s="61" t="s">
        <v>2193</v>
      </c>
      <c r="F6" s="7" t="b">
        <f>ISERROR(D6)</f>
        <v>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7689F-FBAD-4B24-AD45-724F8CA358BA}">
  <sheetPr codeName="Sheet231"/>
  <dimension ref="A1:C10"/>
  <sheetViews>
    <sheetView workbookViewId="0">
      <selection activeCell="F22" activeCellId="1" sqref="B2 F22"/>
    </sheetView>
  </sheetViews>
  <sheetFormatPr defaultRowHeight="14.4"/>
  <cols>
    <col min="1" max="1" width="21.5546875" bestFit="1" customWidth="1"/>
    <col min="2" max="2" width="15.6640625" bestFit="1" customWidth="1"/>
    <col min="3" max="3" width="22.5546875" bestFit="1" customWidth="1"/>
  </cols>
  <sheetData>
    <row r="1" spans="1:3">
      <c r="A1" s="1" t="s">
        <v>2194</v>
      </c>
      <c r="B1" s="1" t="s">
        <v>80</v>
      </c>
      <c r="C1" s="1" t="s">
        <v>2195</v>
      </c>
    </row>
    <row r="2" spans="1:3">
      <c r="A2" s="2">
        <v>1000</v>
      </c>
      <c r="B2" s="2">
        <v>20</v>
      </c>
      <c r="C2" s="7">
        <f>IF(ISERROR(A2/B2),"Data Issue",A2/B2)</f>
        <v>50</v>
      </c>
    </row>
    <row r="3" spans="1:3">
      <c r="A3" s="2">
        <v>3000</v>
      </c>
      <c r="B3" s="2">
        <v>0</v>
      </c>
      <c r="C3" s="7" t="str">
        <f t="shared" ref="C3:C10" si="0">IF(ISERROR(A3/B3),"Data Issue",A3/B3)</f>
        <v>Data Issue</v>
      </c>
    </row>
    <row r="4" spans="1:3">
      <c r="A4" s="2">
        <v>3800</v>
      </c>
      <c r="B4" s="2">
        <v>19</v>
      </c>
      <c r="C4" s="7">
        <f t="shared" si="0"/>
        <v>200</v>
      </c>
    </row>
    <row r="5" spans="1:3">
      <c r="A5" s="2">
        <v>4200</v>
      </c>
      <c r="B5" s="2">
        <v>21</v>
      </c>
      <c r="C5" s="7">
        <f t="shared" si="0"/>
        <v>200</v>
      </c>
    </row>
    <row r="6" spans="1:3">
      <c r="A6" s="2">
        <v>5000</v>
      </c>
      <c r="B6" s="72">
        <v>10</v>
      </c>
      <c r="C6" s="7">
        <f t="shared" si="0"/>
        <v>500</v>
      </c>
    </row>
    <row r="7" spans="1:3">
      <c r="A7" s="2" t="s">
        <v>2197</v>
      </c>
      <c r="B7" s="2">
        <v>11</v>
      </c>
      <c r="C7" s="7" t="str">
        <f t="shared" si="0"/>
        <v>Data Issue</v>
      </c>
    </row>
    <row r="8" spans="1:3">
      <c r="A8" s="2">
        <v>1200</v>
      </c>
      <c r="B8" s="2"/>
      <c r="C8" s="7" t="str">
        <f t="shared" si="0"/>
        <v>Data Issue</v>
      </c>
    </row>
    <row r="9" spans="1:3">
      <c r="A9" s="2">
        <v>1500</v>
      </c>
      <c r="B9" s="2">
        <v>3</v>
      </c>
      <c r="C9" s="7">
        <f t="shared" si="0"/>
        <v>500</v>
      </c>
    </row>
    <row r="10" spans="1:3">
      <c r="A10" s="2">
        <v>2500</v>
      </c>
      <c r="B10" s="2" t="s">
        <v>2196</v>
      </c>
      <c r="C10" s="7" t="str">
        <f t="shared" si="0"/>
        <v>Data Issue</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AE0-11E3-4BC6-ABEC-6EF18CFA2C94}">
  <sheetPr codeName="Sheet232"/>
  <dimension ref="A1:E17"/>
  <sheetViews>
    <sheetView workbookViewId="0">
      <selection activeCell="F22" activeCellId="1" sqref="B2 F22"/>
    </sheetView>
  </sheetViews>
  <sheetFormatPr defaultRowHeight="14.4"/>
  <cols>
    <col min="1" max="1" width="17.44140625" bestFit="1" customWidth="1"/>
    <col min="4" max="4" width="16.33203125" bestFit="1" customWidth="1"/>
    <col min="5" max="5" width="17.44140625" bestFit="1" customWidth="1"/>
  </cols>
  <sheetData>
    <row r="1" spans="1:5">
      <c r="A1" s="1" t="s">
        <v>2198</v>
      </c>
      <c r="D1" s="374" t="s">
        <v>2209</v>
      </c>
      <c r="E1" s="370"/>
    </row>
    <row r="2" spans="1:5">
      <c r="A2" s="3" t="s">
        <v>2199</v>
      </c>
      <c r="D2" s="1" t="s">
        <v>553</v>
      </c>
      <c r="E2" s="1" t="s">
        <v>2210</v>
      </c>
    </row>
    <row r="3" spans="1:5">
      <c r="A3" s="3" t="s">
        <v>2200</v>
      </c>
      <c r="D3" s="3" t="s">
        <v>2211</v>
      </c>
      <c r="E3" s="57" t="str">
        <f>IF(ISERROR(VLOOKUP(D3,$A$2:$A$11,1,FALSE)),"Not Participated","Participated")</f>
        <v>Not Participated</v>
      </c>
    </row>
    <row r="4" spans="1:5">
      <c r="A4" s="3" t="s">
        <v>2201</v>
      </c>
      <c r="D4" s="3" t="s">
        <v>2199</v>
      </c>
      <c r="E4" s="57" t="str">
        <f t="shared" ref="E4:E17" si="0">IF(ISERROR(VLOOKUP(D4,$A$2:$A$11,1,FALSE)),"Not Participated","Participated")</f>
        <v>Participated</v>
      </c>
    </row>
    <row r="5" spans="1:5">
      <c r="A5" s="3" t="s">
        <v>2202</v>
      </c>
      <c r="D5" s="3" t="s">
        <v>2200</v>
      </c>
      <c r="E5" s="57" t="str">
        <f t="shared" si="0"/>
        <v>Participated</v>
      </c>
    </row>
    <row r="6" spans="1:5">
      <c r="A6" s="3" t="s">
        <v>2203</v>
      </c>
      <c r="D6" s="3" t="s">
        <v>2212</v>
      </c>
      <c r="E6" s="57" t="str">
        <f t="shared" si="0"/>
        <v>Not Participated</v>
      </c>
    </row>
    <row r="7" spans="1:5">
      <c r="A7" s="3" t="s">
        <v>2204</v>
      </c>
      <c r="D7" s="3" t="s">
        <v>2213</v>
      </c>
      <c r="E7" s="57" t="str">
        <f t="shared" si="0"/>
        <v>Not Participated</v>
      </c>
    </row>
    <row r="8" spans="1:5">
      <c r="A8" s="3" t="s">
        <v>2205</v>
      </c>
      <c r="D8" s="3" t="s">
        <v>2214</v>
      </c>
      <c r="E8" s="57" t="str">
        <f t="shared" si="0"/>
        <v>Not Participated</v>
      </c>
    </row>
    <row r="9" spans="1:5">
      <c r="A9" s="3" t="s">
        <v>2206</v>
      </c>
      <c r="D9" s="3" t="s">
        <v>2202</v>
      </c>
      <c r="E9" s="57" t="str">
        <f t="shared" si="0"/>
        <v>Participated</v>
      </c>
    </row>
    <row r="10" spans="1:5">
      <c r="A10" s="3" t="s">
        <v>2207</v>
      </c>
      <c r="D10" s="3" t="s">
        <v>2215</v>
      </c>
      <c r="E10" s="57" t="str">
        <f t="shared" si="0"/>
        <v>Not Participated</v>
      </c>
    </row>
    <row r="11" spans="1:5">
      <c r="A11" s="3" t="s">
        <v>2208</v>
      </c>
      <c r="D11" s="3" t="s">
        <v>2216</v>
      </c>
      <c r="E11" s="57" t="str">
        <f t="shared" si="0"/>
        <v>Not Participated</v>
      </c>
    </row>
    <row r="12" spans="1:5">
      <c r="D12" s="3" t="s">
        <v>2205</v>
      </c>
      <c r="E12" s="57" t="str">
        <f t="shared" si="0"/>
        <v>Participated</v>
      </c>
    </row>
    <row r="13" spans="1:5">
      <c r="D13" s="3" t="s">
        <v>2217</v>
      </c>
      <c r="E13" s="57" t="str">
        <f t="shared" si="0"/>
        <v>Not Participated</v>
      </c>
    </row>
    <row r="14" spans="1:5">
      <c r="D14" s="3" t="s">
        <v>2218</v>
      </c>
      <c r="E14" s="57" t="str">
        <f t="shared" si="0"/>
        <v>Not Participated</v>
      </c>
    </row>
    <row r="15" spans="1:5">
      <c r="D15" s="3" t="s">
        <v>2219</v>
      </c>
      <c r="E15" s="57" t="str">
        <f t="shared" si="0"/>
        <v>Not Participated</v>
      </c>
    </row>
    <row r="16" spans="1:5">
      <c r="D16" s="3" t="s">
        <v>2207</v>
      </c>
      <c r="E16" s="57" t="str">
        <f t="shared" si="0"/>
        <v>Participated</v>
      </c>
    </row>
    <row r="17" spans="4:5">
      <c r="D17" s="3" t="s">
        <v>2220</v>
      </c>
      <c r="E17" s="57" t="str">
        <f t="shared" si="0"/>
        <v>Not Participated</v>
      </c>
    </row>
  </sheetData>
  <mergeCells count="1">
    <mergeCell ref="D1:E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8353-5390-4B05-B3B4-6A215641C3FE}">
  <sheetPr codeName="Sheet233"/>
  <dimension ref="A1:D10"/>
  <sheetViews>
    <sheetView workbookViewId="0">
      <selection activeCell="F22" activeCellId="1" sqref="B2 F22"/>
    </sheetView>
  </sheetViews>
  <sheetFormatPr defaultRowHeight="14.4"/>
  <cols>
    <col min="1" max="1" width="10.5546875" bestFit="1" customWidth="1"/>
    <col min="4" max="4" width="30.44140625" bestFit="1" customWidth="1"/>
  </cols>
  <sheetData>
    <row r="1" spans="1:4">
      <c r="A1" s="1" t="s">
        <v>2221</v>
      </c>
      <c r="B1" s="1" t="s">
        <v>2222</v>
      </c>
      <c r="C1" s="1" t="s">
        <v>1738</v>
      </c>
      <c r="D1" s="1" t="s">
        <v>1570</v>
      </c>
    </row>
    <row r="2" spans="1:4">
      <c r="A2" s="2">
        <v>1000</v>
      </c>
      <c r="B2" s="2">
        <v>10</v>
      </c>
      <c r="C2" s="2" t="e">
        <f>SUM(A2 B2,B2)</f>
        <v>#NULL!</v>
      </c>
      <c r="D2" s="55" t="s">
        <v>2224</v>
      </c>
    </row>
    <row r="3" spans="1:4">
      <c r="A3" s="2">
        <v>3</v>
      </c>
      <c r="B3" s="2">
        <v>700</v>
      </c>
      <c r="C3" s="2" t="e">
        <f>A3^B3</f>
        <v>#NUM!</v>
      </c>
      <c r="D3" s="55" t="s">
        <v>2225</v>
      </c>
    </row>
    <row r="4" spans="1:4">
      <c r="A4" s="2">
        <v>500</v>
      </c>
      <c r="B4" s="2">
        <v>500</v>
      </c>
      <c r="C4" s="2">
        <f>SUM(A4:B4)</f>
        <v>1000</v>
      </c>
      <c r="D4" s="55" t="s">
        <v>2226</v>
      </c>
    </row>
    <row r="5" spans="1:4">
      <c r="A5" s="2">
        <v>100</v>
      </c>
      <c r="B5" s="2">
        <v>0</v>
      </c>
      <c r="C5" s="2" t="e">
        <f>A5/B5</f>
        <v>#DIV/0!</v>
      </c>
      <c r="D5" s="55" t="s">
        <v>2227</v>
      </c>
    </row>
    <row r="6" spans="1:4">
      <c r="A6" s="2">
        <v>8</v>
      </c>
      <c r="B6" s="2">
        <v>2</v>
      </c>
      <c r="C6" s="2">
        <f>MOD(A6,B6)</f>
        <v>0</v>
      </c>
      <c r="D6" s="55" t="s">
        <v>2228</v>
      </c>
    </row>
    <row r="7" spans="1:4">
      <c r="A7" s="2">
        <v>25</v>
      </c>
      <c r="B7" s="2">
        <v>25</v>
      </c>
      <c r="C7" s="2">
        <f>A7-B7</f>
        <v>0</v>
      </c>
      <c r="D7" s="55" t="s">
        <v>2230</v>
      </c>
    </row>
    <row r="8" spans="1:4">
      <c r="A8" s="2">
        <v>70</v>
      </c>
      <c r="B8" s="2" t="s">
        <v>2223</v>
      </c>
      <c r="C8" s="2" t="e">
        <f>A8*B8</f>
        <v>#VALUE!</v>
      </c>
      <c r="D8" s="55" t="s">
        <v>2229</v>
      </c>
    </row>
    <row r="10" spans="1:4">
      <c r="A10" s="1" t="s">
        <v>2231</v>
      </c>
      <c r="B10" s="7">
        <f>SUMPRODUCT(--ISERROR(C2:C8))</f>
        <v>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9D06-ADDF-4172-9C20-C91746730F45}">
  <sheetPr codeName="Sheet234"/>
  <dimension ref="A1:E12"/>
  <sheetViews>
    <sheetView workbookViewId="0">
      <selection activeCell="E3" sqref="E3"/>
    </sheetView>
  </sheetViews>
  <sheetFormatPr defaultRowHeight="14.4"/>
  <cols>
    <col min="1" max="1" width="15.88671875" bestFit="1" customWidth="1"/>
    <col min="2" max="2" width="14.33203125" bestFit="1" customWidth="1"/>
    <col min="4" max="4" width="15.5546875" bestFit="1" customWidth="1"/>
    <col min="5" max="5" width="34.109375" bestFit="1" customWidth="1"/>
  </cols>
  <sheetData>
    <row r="1" spans="1:5">
      <c r="A1" s="374" t="s">
        <v>2247</v>
      </c>
      <c r="B1" s="370"/>
      <c r="D1" s="374" t="s">
        <v>2248</v>
      </c>
      <c r="E1" s="370"/>
    </row>
    <row r="2" spans="1:5">
      <c r="A2" s="1" t="s">
        <v>2232</v>
      </c>
      <c r="B2" s="1" t="s">
        <v>2233</v>
      </c>
      <c r="D2" s="1" t="s">
        <v>2232</v>
      </c>
      <c r="E2" s="1" t="s">
        <v>2239</v>
      </c>
    </row>
    <row r="3" spans="1:5">
      <c r="A3" s="3" t="s">
        <v>2234</v>
      </c>
      <c r="B3" s="2">
        <v>20</v>
      </c>
      <c r="D3" s="3" t="s">
        <v>2240</v>
      </c>
      <c r="E3" s="7" t="str">
        <f>IF(ISERROR(INDEX($B$3:$B$9,MATCH(D3,$A$3:$A$9,0))),"Not Qualified",INDEX($B$3:$B$9,MATCH(D3,$A$3:$A$9,0)))</f>
        <v>Not Qualified</v>
      </c>
    </row>
    <row r="4" spans="1:5">
      <c r="A4" s="3" t="s">
        <v>2235</v>
      </c>
      <c r="B4" s="2">
        <v>22</v>
      </c>
      <c r="D4" s="3" t="s">
        <v>2241</v>
      </c>
      <c r="E4" s="7" t="str">
        <f t="shared" ref="E4:E12" si="0">IF(ISERROR(INDEX($B$3:$B$9,MATCH(D4,$A$3:$A$9,0))),"Not Qualified",INDEX($B$3:$B$9,MATCH(D4,$A$3:$A$9,0)))</f>
        <v>Not Qualified</v>
      </c>
    </row>
    <row r="5" spans="1:5">
      <c r="A5" s="3" t="s">
        <v>2236</v>
      </c>
      <c r="B5" s="2">
        <v>23</v>
      </c>
      <c r="D5" s="3" t="s">
        <v>2234</v>
      </c>
      <c r="E5" s="7">
        <f t="shared" si="0"/>
        <v>20</v>
      </c>
    </row>
    <row r="6" spans="1:5">
      <c r="A6" s="3" t="s">
        <v>2237</v>
      </c>
      <c r="B6" s="2">
        <v>21</v>
      </c>
      <c r="D6" s="3" t="s">
        <v>2235</v>
      </c>
      <c r="E6" s="7">
        <f t="shared" si="0"/>
        <v>22</v>
      </c>
    </row>
    <row r="7" spans="1:5">
      <c r="A7" s="3" t="s">
        <v>2238</v>
      </c>
      <c r="B7" s="2">
        <v>19</v>
      </c>
      <c r="D7" s="3" t="s">
        <v>2242</v>
      </c>
      <c r="E7" s="7" t="str">
        <f t="shared" si="0"/>
        <v>Not Qualified</v>
      </c>
    </row>
    <row r="8" spans="1:5">
      <c r="A8" s="3" t="s">
        <v>2244</v>
      </c>
      <c r="B8" s="2">
        <v>24</v>
      </c>
      <c r="D8" s="3" t="s">
        <v>2237</v>
      </c>
      <c r="E8" s="7">
        <f t="shared" si="0"/>
        <v>21</v>
      </c>
    </row>
    <row r="9" spans="1:5">
      <c r="A9" s="3" t="s">
        <v>2245</v>
      </c>
      <c r="B9" s="2">
        <v>20</v>
      </c>
      <c r="D9" s="3" t="s">
        <v>2243</v>
      </c>
      <c r="E9" s="7" t="str">
        <f t="shared" si="0"/>
        <v>Not Qualified</v>
      </c>
    </row>
    <row r="10" spans="1:5">
      <c r="D10" s="3" t="s">
        <v>2244</v>
      </c>
      <c r="E10" s="7">
        <f t="shared" si="0"/>
        <v>24</v>
      </c>
    </row>
    <row r="11" spans="1:5">
      <c r="D11" s="3" t="s">
        <v>2245</v>
      </c>
      <c r="E11" s="7">
        <f t="shared" si="0"/>
        <v>20</v>
      </c>
    </row>
    <row r="12" spans="1:5">
      <c r="D12" s="3" t="s">
        <v>2246</v>
      </c>
      <c r="E12" s="7" t="str">
        <f t="shared" si="0"/>
        <v>Not Qualified</v>
      </c>
    </row>
  </sheetData>
  <mergeCells count="2">
    <mergeCell ref="A1:B1"/>
    <mergeCell ref="D1:E1"/>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99FC-7B90-429A-A14B-DE3BC33E996B}">
  <sheetPr codeName="Sheet235"/>
  <dimension ref="A1:B8"/>
  <sheetViews>
    <sheetView workbookViewId="0"/>
  </sheetViews>
  <sheetFormatPr defaultRowHeight="14.4"/>
  <cols>
    <col min="1" max="1" width="11.6640625" bestFit="1" customWidth="1"/>
    <col min="2" max="2" width="24.5546875" bestFit="1" customWidth="1"/>
  </cols>
  <sheetData>
    <row r="1" spans="1:2">
      <c r="A1" s="1" t="s">
        <v>1421</v>
      </c>
      <c r="B1" s="1" t="s">
        <v>2250</v>
      </c>
    </row>
    <row r="2" spans="1:2">
      <c r="A2" s="2" t="e">
        <v>#REF!</v>
      </c>
      <c r="B2" s="7" t="b">
        <v>1</v>
      </c>
    </row>
    <row r="3" spans="1:2">
      <c r="A3" s="2" t="e">
        <v>#N/A</v>
      </c>
      <c r="B3" s="7" t="b">
        <v>1</v>
      </c>
    </row>
    <row r="4" spans="1:2">
      <c r="A4" s="2">
        <v>950</v>
      </c>
      <c r="B4" s="7" t="b">
        <v>0</v>
      </c>
    </row>
    <row r="5" spans="1:2">
      <c r="A5" s="2" t="e">
        <v>#NULL!</v>
      </c>
      <c r="B5" s="7" t="b">
        <v>1</v>
      </c>
    </row>
    <row r="6" spans="1:2">
      <c r="A6" s="2" t="e">
        <v>#NAME?</v>
      </c>
      <c r="B6" s="7" t="b">
        <v>1</v>
      </c>
    </row>
    <row r="7" spans="1:2">
      <c r="A7" s="2" t="s">
        <v>2249</v>
      </c>
      <c r="B7" s="7" t="b">
        <v>0</v>
      </c>
    </row>
    <row r="8" spans="1:2">
      <c r="A8" s="2" t="e">
        <v>#NUM!</v>
      </c>
      <c r="B8" s="7" t="b">
        <v>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F387-302F-4DED-927A-3A013BD143D8}">
  <sheetPr codeName="Sheet236"/>
  <dimension ref="A1:E7"/>
  <sheetViews>
    <sheetView workbookViewId="0">
      <selection activeCell="D2" sqref="D2"/>
    </sheetView>
  </sheetViews>
  <sheetFormatPr defaultRowHeight="14.4"/>
  <cols>
    <col min="1" max="1" width="9.88671875" customWidth="1"/>
    <col min="2" max="2" width="11" customWidth="1"/>
    <col min="3" max="3" width="11.44140625" customWidth="1"/>
    <col min="4" max="4" width="20.5546875" customWidth="1"/>
    <col min="5" max="5" width="42.44140625" bestFit="1" customWidth="1"/>
  </cols>
  <sheetData>
    <row r="1" spans="1:5">
      <c r="A1" s="1" t="s">
        <v>1122</v>
      </c>
      <c r="B1" s="1" t="s">
        <v>2251</v>
      </c>
      <c r="C1" s="1" t="s">
        <v>1644</v>
      </c>
      <c r="D1" s="1" t="s">
        <v>2252</v>
      </c>
      <c r="E1" s="1" t="s">
        <v>1977</v>
      </c>
    </row>
    <row r="2" spans="1:5">
      <c r="A2" s="20">
        <v>44621</v>
      </c>
      <c r="B2" s="20">
        <v>44630</v>
      </c>
      <c r="C2" s="2"/>
      <c r="D2" s="7">
        <f>NETWORKDAYS(A2,B2)</f>
        <v>8</v>
      </c>
      <c r="E2" s="65" t="s">
        <v>2253</v>
      </c>
    </row>
    <row r="3" spans="1:5">
      <c r="A3" s="20">
        <v>44652</v>
      </c>
      <c r="B3" s="20">
        <v>44681</v>
      </c>
      <c r="C3" s="2"/>
      <c r="D3" s="7">
        <f>NETWORKDAYS(A3,B3)</f>
        <v>21</v>
      </c>
      <c r="E3" s="65" t="s">
        <v>2254</v>
      </c>
    </row>
    <row r="4" spans="1:5">
      <c r="A4" s="20">
        <v>44805</v>
      </c>
      <c r="B4" s="20">
        <v>44824</v>
      </c>
      <c r="C4" s="20">
        <v>44809</v>
      </c>
      <c r="D4" s="7">
        <f>NETWORKDAYS(A4,B4,C4)</f>
        <v>13</v>
      </c>
      <c r="E4" s="65" t="s">
        <v>2255</v>
      </c>
    </row>
    <row r="5" spans="1:5">
      <c r="A5" s="395">
        <v>44866</v>
      </c>
      <c r="B5" s="395">
        <v>44895</v>
      </c>
      <c r="C5" s="20">
        <v>44876</v>
      </c>
      <c r="D5" s="391">
        <f>NETWORKDAYS(A5,B5,C5:C7)</f>
        <v>19</v>
      </c>
      <c r="E5" s="389" t="s">
        <v>2256</v>
      </c>
    </row>
    <row r="6" spans="1:5">
      <c r="A6" s="396"/>
      <c r="B6" s="396"/>
      <c r="C6" s="20">
        <v>44889</v>
      </c>
      <c r="D6" s="392"/>
      <c r="E6" s="394"/>
    </row>
    <row r="7" spans="1:5">
      <c r="A7" s="397"/>
      <c r="B7" s="397"/>
      <c r="C7" s="20">
        <v>44890</v>
      </c>
      <c r="D7" s="393"/>
      <c r="E7" s="390"/>
    </row>
  </sheetData>
  <mergeCells count="4">
    <mergeCell ref="D5:D7"/>
    <mergeCell ref="E5:E7"/>
    <mergeCell ref="A5:A7"/>
    <mergeCell ref="B5:B7"/>
  </mergeCells>
  <pageMargins left="0.7" right="0.7" top="0.75" bottom="0.75" header="0.3" footer="0.3"/>
  <pageSetup orientation="portrait" r:id="rId1"/>
  <ignoredErrors>
    <ignoredError sqref="D5" formulaRange="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963-17B3-42D6-8F12-4F636A0655F8}">
  <sheetPr codeName="Sheet237"/>
  <dimension ref="A1:H12"/>
  <sheetViews>
    <sheetView workbookViewId="0">
      <selection activeCell="D2" sqref="D2"/>
    </sheetView>
  </sheetViews>
  <sheetFormatPr defaultRowHeight="14.4"/>
  <cols>
    <col min="1" max="2" width="9.44140625" bestFit="1" customWidth="1"/>
    <col min="3" max="3" width="55.109375" bestFit="1" customWidth="1"/>
    <col min="4" max="4" width="19.109375" bestFit="1" customWidth="1"/>
    <col min="6" max="6" width="22.44140625" bestFit="1" customWidth="1"/>
    <col min="7" max="8" width="9.44140625" bestFit="1" customWidth="1"/>
  </cols>
  <sheetData>
    <row r="1" spans="1:8">
      <c r="A1" s="1" t="s">
        <v>1122</v>
      </c>
      <c r="B1" s="1" t="s">
        <v>2251</v>
      </c>
      <c r="C1" s="1" t="s">
        <v>1138</v>
      </c>
      <c r="D1" s="1" t="s">
        <v>2257</v>
      </c>
      <c r="E1" s="14"/>
      <c r="F1" s="369" t="s">
        <v>1669</v>
      </c>
      <c r="G1" s="369"/>
      <c r="H1" s="369"/>
    </row>
    <row r="2" spans="1:8">
      <c r="A2" s="20">
        <v>44562</v>
      </c>
      <c r="B2" s="20">
        <v>44592</v>
      </c>
      <c r="C2" s="20" t="s">
        <v>2266</v>
      </c>
      <c r="D2" s="7">
        <f>NETWORKDAYS(A2,B2)</f>
        <v>21</v>
      </c>
      <c r="E2" s="14"/>
      <c r="F2" s="1" t="s">
        <v>2258</v>
      </c>
      <c r="G2" s="1" t="s">
        <v>670</v>
      </c>
      <c r="H2" s="1" t="s">
        <v>108</v>
      </c>
    </row>
    <row r="3" spans="1:8">
      <c r="A3" s="20">
        <v>44593</v>
      </c>
      <c r="B3" s="20">
        <v>44617</v>
      </c>
      <c r="C3" s="20" t="s">
        <v>2265</v>
      </c>
      <c r="D3" s="7">
        <f>NETWORKDAYS(A3,B3,G5)</f>
        <v>18</v>
      </c>
      <c r="E3" s="14"/>
      <c r="F3" s="2" t="s">
        <v>2259</v>
      </c>
      <c r="G3" s="20">
        <v>44562</v>
      </c>
      <c r="H3" s="110">
        <v>44562</v>
      </c>
    </row>
    <row r="4" spans="1:8">
      <c r="A4" s="20">
        <v>44652</v>
      </c>
      <c r="B4" s="20">
        <v>44681</v>
      </c>
      <c r="C4" s="2" t="s">
        <v>2269</v>
      </c>
      <c r="D4" s="7">
        <f>NETWORKDAYS(A4,B4,G6)</f>
        <v>21</v>
      </c>
      <c r="E4" s="14"/>
      <c r="F4" s="2" t="s">
        <v>2260</v>
      </c>
      <c r="G4" s="20">
        <v>44578</v>
      </c>
      <c r="H4" s="110">
        <v>44578</v>
      </c>
    </row>
    <row r="5" spans="1:8">
      <c r="A5" s="20">
        <v>44562</v>
      </c>
      <c r="B5" s="20">
        <v>44773</v>
      </c>
      <c r="C5" s="2" t="s">
        <v>2267</v>
      </c>
      <c r="D5" s="7">
        <f>NETWORKDAYS(A5,B5,G3:G8)</f>
        <v>146</v>
      </c>
      <c r="E5" s="14"/>
      <c r="F5" s="2" t="s">
        <v>2261</v>
      </c>
      <c r="G5" s="20">
        <v>44613</v>
      </c>
      <c r="H5" s="110">
        <v>44613</v>
      </c>
    </row>
    <row r="6" spans="1:8">
      <c r="A6" s="20">
        <v>44682</v>
      </c>
      <c r="B6" s="20">
        <v>44727</v>
      </c>
      <c r="C6" s="20" t="s">
        <v>2268</v>
      </c>
      <c r="D6" s="7">
        <f>NETWORKDAYS("5/1/2022","6/15/2022","5/30/2022")</f>
        <v>32</v>
      </c>
      <c r="E6" s="14"/>
      <c r="F6" s="2" t="s">
        <v>2262</v>
      </c>
      <c r="G6" s="20">
        <v>44668</v>
      </c>
      <c r="H6" s="110">
        <v>44668</v>
      </c>
    </row>
    <row r="7" spans="1:8">
      <c r="A7" s="20">
        <v>44742</v>
      </c>
      <c r="B7" s="20">
        <v>44652</v>
      </c>
      <c r="C7" s="2" t="s">
        <v>2270</v>
      </c>
      <c r="D7" s="7">
        <f>NETWORKDAYS(A7,B7)</f>
        <v>-65</v>
      </c>
      <c r="E7" s="14"/>
      <c r="F7" s="2" t="s">
        <v>2263</v>
      </c>
      <c r="G7" s="20">
        <v>44711</v>
      </c>
      <c r="H7" s="110">
        <v>44711</v>
      </c>
    </row>
    <row r="8" spans="1:8">
      <c r="A8" s="20">
        <v>44713</v>
      </c>
      <c r="B8" s="20" t="s">
        <v>2291</v>
      </c>
      <c r="C8" s="20" t="s">
        <v>2266</v>
      </c>
      <c r="D8" s="7" t="e">
        <f>NETWORKDAYS(A8,B8)</f>
        <v>#VALUE!</v>
      </c>
      <c r="E8" s="14"/>
      <c r="F8" s="2" t="s">
        <v>2264</v>
      </c>
      <c r="G8" s="20">
        <v>44746</v>
      </c>
      <c r="H8" s="110">
        <v>44746</v>
      </c>
    </row>
    <row r="9" spans="1:8">
      <c r="A9" s="14"/>
      <c r="B9" s="14"/>
      <c r="C9" s="14"/>
      <c r="D9" s="14"/>
      <c r="E9" s="14"/>
      <c r="F9" s="14"/>
      <c r="G9" s="14"/>
      <c r="H9" s="14"/>
    </row>
    <row r="11" spans="1:8">
      <c r="D11" s="14"/>
    </row>
    <row r="12" spans="1:8">
      <c r="D12" s="14"/>
    </row>
  </sheetData>
  <mergeCells count="1">
    <mergeCell ref="F1:H1"/>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B467-0490-43E5-8965-F14F51B53C3F}">
  <sheetPr codeName="Sheet238"/>
  <dimension ref="A1:H5"/>
  <sheetViews>
    <sheetView workbookViewId="0">
      <selection activeCell="D2" sqref="D2"/>
    </sheetView>
  </sheetViews>
  <sheetFormatPr defaultRowHeight="14.4"/>
  <cols>
    <col min="1" max="1" width="16.5546875" bestFit="1" customWidth="1"/>
    <col min="2" max="2" width="16.33203125" bestFit="1" customWidth="1"/>
    <col min="3" max="3" width="20.44140625" bestFit="1" customWidth="1"/>
    <col min="4" max="4" width="12.6640625" bestFit="1" customWidth="1"/>
    <col min="5" max="5" width="30" bestFit="1" customWidth="1"/>
    <col min="7" max="7" width="10.44140625" bestFit="1" customWidth="1"/>
    <col min="8" max="8" width="10.5546875" bestFit="1" customWidth="1"/>
  </cols>
  <sheetData>
    <row r="1" spans="1:8">
      <c r="A1" s="1" t="s">
        <v>2289</v>
      </c>
      <c r="B1" s="1" t="s">
        <v>2290</v>
      </c>
      <c r="C1" s="1" t="s">
        <v>2271</v>
      </c>
      <c r="D1" s="1" t="s">
        <v>2274</v>
      </c>
      <c r="E1" s="1" t="s">
        <v>2276</v>
      </c>
      <c r="G1" s="369" t="s">
        <v>1669</v>
      </c>
      <c r="H1" s="369"/>
    </row>
    <row r="2" spans="1:8">
      <c r="A2" s="20">
        <v>44409</v>
      </c>
      <c r="B2" s="20">
        <v>44469</v>
      </c>
      <c r="C2" s="2">
        <v>7.5</v>
      </c>
      <c r="D2" s="86">
        <f>NETWORKDAYS(A2,B2,$G$3:$G$5)</f>
        <v>44</v>
      </c>
      <c r="E2" s="7">
        <f>D2*C2</f>
        <v>330</v>
      </c>
      <c r="G2" s="1" t="s">
        <v>670</v>
      </c>
      <c r="H2" s="1" t="s">
        <v>108</v>
      </c>
    </row>
    <row r="3" spans="1:8">
      <c r="A3" s="20">
        <v>44470</v>
      </c>
      <c r="B3" s="20">
        <v>44530</v>
      </c>
      <c r="C3" s="2">
        <v>7.5</v>
      </c>
      <c r="D3" s="86">
        <f>NETWORKDAYS(A3,B3,$G$3:$G$5)</f>
        <v>40</v>
      </c>
      <c r="E3" s="7">
        <f>D3*C3</f>
        <v>300</v>
      </c>
      <c r="G3" s="20">
        <v>44480</v>
      </c>
      <c r="H3" s="2" t="s">
        <v>2272</v>
      </c>
    </row>
    <row r="4" spans="1:8">
      <c r="G4" s="20">
        <v>44511</v>
      </c>
      <c r="H4" s="2" t="s">
        <v>2273</v>
      </c>
    </row>
    <row r="5" spans="1:8">
      <c r="D5" s="48"/>
      <c r="E5" s="48"/>
      <c r="G5" s="20">
        <v>44525</v>
      </c>
      <c r="H5" s="2" t="s">
        <v>2273</v>
      </c>
    </row>
  </sheetData>
  <mergeCells count="1">
    <mergeCell ref="G1:H1"/>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602CA-A89B-44E8-8362-8468ECDC1625}">
  <sheetPr codeName="Sheet239"/>
  <dimension ref="A1:J13"/>
  <sheetViews>
    <sheetView workbookViewId="0">
      <selection activeCell="D2" sqref="D2"/>
    </sheetView>
  </sheetViews>
  <sheetFormatPr defaultRowHeight="14.4"/>
  <cols>
    <col min="1" max="1" width="9.44140625" bestFit="1" customWidth="1"/>
    <col min="2" max="2" width="22.44140625" bestFit="1" customWidth="1"/>
    <col min="10" max="10" width="10.44140625" bestFit="1" customWidth="1"/>
  </cols>
  <sheetData>
    <row r="1" spans="1:10">
      <c r="A1" s="1" t="s">
        <v>1122</v>
      </c>
      <c r="B1" s="1" t="s">
        <v>2275</v>
      </c>
    </row>
    <row r="2" spans="1:10">
      <c r="A2" s="20">
        <v>44197</v>
      </c>
      <c r="B2" s="7">
        <f>NETWORKDAYS(A2,EOMONTH(A2,0))</f>
        <v>21</v>
      </c>
    </row>
    <row r="3" spans="1:10">
      <c r="A3" s="20">
        <v>44228</v>
      </c>
      <c r="B3" s="7">
        <f t="shared" ref="B3:B13" si="0">NETWORKDAYS(A3,EOMONTH(A3,0))</f>
        <v>20</v>
      </c>
    </row>
    <row r="4" spans="1:10">
      <c r="A4" s="20">
        <v>44256</v>
      </c>
      <c r="B4" s="7">
        <f t="shared" si="0"/>
        <v>23</v>
      </c>
    </row>
    <row r="5" spans="1:10">
      <c r="A5" s="20">
        <v>44287</v>
      </c>
      <c r="B5" s="7">
        <f t="shared" si="0"/>
        <v>22</v>
      </c>
      <c r="J5" s="48"/>
    </row>
    <row r="6" spans="1:10">
      <c r="A6" s="20">
        <v>44317</v>
      </c>
      <c r="B6" s="7">
        <f t="shared" si="0"/>
        <v>21</v>
      </c>
    </row>
    <row r="7" spans="1:10">
      <c r="A7" s="20">
        <v>44348</v>
      </c>
      <c r="B7" s="7">
        <f t="shared" si="0"/>
        <v>22</v>
      </c>
    </row>
    <row r="8" spans="1:10">
      <c r="A8" s="20">
        <v>44378</v>
      </c>
      <c r="B8" s="7">
        <f t="shared" si="0"/>
        <v>22</v>
      </c>
    </row>
    <row r="9" spans="1:10">
      <c r="A9" s="20">
        <v>44409</v>
      </c>
      <c r="B9" s="7">
        <f t="shared" si="0"/>
        <v>22</v>
      </c>
    </row>
    <row r="10" spans="1:10">
      <c r="A10" s="20">
        <v>44440</v>
      </c>
      <c r="B10" s="7">
        <f t="shared" si="0"/>
        <v>22</v>
      </c>
    </row>
    <row r="11" spans="1:10">
      <c r="A11" s="20">
        <v>44470</v>
      </c>
      <c r="B11" s="7">
        <f t="shared" si="0"/>
        <v>21</v>
      </c>
    </row>
    <row r="12" spans="1:10">
      <c r="A12" s="20">
        <v>44501</v>
      </c>
      <c r="B12" s="7">
        <f t="shared" si="0"/>
        <v>22</v>
      </c>
    </row>
    <row r="13" spans="1:10">
      <c r="A13" s="20">
        <v>44531</v>
      </c>
      <c r="B13" s="7">
        <f t="shared" si="0"/>
        <v>23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E21F-5956-49EB-A13E-5CD16263DFD4}">
  <sheetPr codeName="Sheet240"/>
  <dimension ref="A1:O13"/>
  <sheetViews>
    <sheetView zoomScaleNormal="100" workbookViewId="0">
      <selection activeCell="D2" sqref="D2"/>
    </sheetView>
  </sheetViews>
  <sheetFormatPr defaultRowHeight="14.4"/>
  <cols>
    <col min="1" max="1" width="22.44140625" bestFit="1" customWidth="1"/>
    <col min="2" max="3" width="10.44140625" bestFit="1" customWidth="1"/>
    <col min="6" max="6" width="20.44140625" bestFit="1" customWidth="1"/>
    <col min="7" max="7" width="34.44140625" bestFit="1" customWidth="1"/>
    <col min="8" max="8" width="15" bestFit="1" customWidth="1"/>
  </cols>
  <sheetData>
    <row r="1" spans="1:15">
      <c r="A1" s="369" t="s">
        <v>2277</v>
      </c>
      <c r="B1" s="369"/>
      <c r="C1" s="369"/>
      <c r="F1" s="1" t="s">
        <v>2283</v>
      </c>
      <c r="G1" s="1" t="s">
        <v>2285</v>
      </c>
    </row>
    <row r="2" spans="1:15">
      <c r="A2" s="1" t="s">
        <v>2258</v>
      </c>
      <c r="B2" s="1" t="s">
        <v>670</v>
      </c>
      <c r="C2" s="1" t="s">
        <v>108</v>
      </c>
      <c r="F2" s="2" t="s">
        <v>2295</v>
      </c>
      <c r="G2" s="2">
        <v>90</v>
      </c>
    </row>
    <row r="3" spans="1:15">
      <c r="A3" s="2" t="s">
        <v>2259</v>
      </c>
      <c r="B3" s="20">
        <v>44562</v>
      </c>
      <c r="C3" s="110">
        <f t="shared" ref="C3:C13" si="0">B3</f>
        <v>44562</v>
      </c>
      <c r="F3" s="2" t="s">
        <v>2286</v>
      </c>
      <c r="G3" s="2">
        <v>120</v>
      </c>
    </row>
    <row r="4" spans="1:15">
      <c r="A4" s="2" t="s">
        <v>2260</v>
      </c>
      <c r="B4" s="20">
        <v>44578</v>
      </c>
      <c r="C4" s="110">
        <f t="shared" si="0"/>
        <v>44578</v>
      </c>
    </row>
    <row r="5" spans="1:15">
      <c r="A5" s="2" t="s">
        <v>2261</v>
      </c>
      <c r="B5" s="20">
        <v>44613</v>
      </c>
      <c r="C5" s="110">
        <f t="shared" si="0"/>
        <v>44613</v>
      </c>
      <c r="F5" s="1" t="s">
        <v>33</v>
      </c>
      <c r="G5" s="1" t="s">
        <v>2294</v>
      </c>
      <c r="H5" s="1" t="s">
        <v>2284</v>
      </c>
    </row>
    <row r="6" spans="1:15">
      <c r="A6" s="2" t="s">
        <v>2263</v>
      </c>
      <c r="B6" s="20">
        <v>44711</v>
      </c>
      <c r="C6" s="110">
        <f t="shared" si="0"/>
        <v>44711</v>
      </c>
      <c r="F6" s="2">
        <v>2022</v>
      </c>
      <c r="G6" s="2" t="s">
        <v>2287</v>
      </c>
      <c r="H6" s="7">
        <f>IF(NETWORKDAYS(DATE(F6,1,1),DATE(F6,12,31))&gt;=251,NETWORKDAYS(DATE(F6,1,1),DATE(F6,12,31))*120,NETWORKDAYS(DATE(F6,1,1),DATE(F6,12,31))*90)</f>
        <v>31200</v>
      </c>
    </row>
    <row r="7" spans="1:15">
      <c r="A7" s="2" t="s">
        <v>2278</v>
      </c>
      <c r="B7" s="20">
        <v>44729</v>
      </c>
      <c r="C7" s="110">
        <f t="shared" si="0"/>
        <v>44729</v>
      </c>
      <c r="F7" s="2">
        <v>2022</v>
      </c>
      <c r="G7" s="2" t="s">
        <v>2288</v>
      </c>
      <c r="H7" s="7">
        <f>IF(NETWORKDAYS(DATE(F7,1,1),DATE(F7,12,31),B3:B13)&gt;=251,NETWORKDAYS(DATE(F7,1,1),DATE(F7,12,31),B3:B13)*120,NETWORKDAYS(DATE(F7,1,1),DATE(F7,12,31),B3:B13)*90)</f>
        <v>30120</v>
      </c>
    </row>
    <row r="8" spans="1:15">
      <c r="A8" s="2" t="s">
        <v>2264</v>
      </c>
      <c r="B8" s="20">
        <v>44746</v>
      </c>
      <c r="C8" s="110">
        <f t="shared" si="0"/>
        <v>44746</v>
      </c>
      <c r="O8">
        <f>NETWORKDAYS(DATE(F6,1,1),DATE(F6,12,31),B3:B13)</f>
        <v>251</v>
      </c>
    </row>
    <row r="9" spans="1:15">
      <c r="A9" s="2" t="s">
        <v>2279</v>
      </c>
      <c r="B9" s="20">
        <v>44809</v>
      </c>
      <c r="C9" s="110">
        <f t="shared" si="0"/>
        <v>44809</v>
      </c>
    </row>
    <row r="10" spans="1:15">
      <c r="A10" s="2" t="s">
        <v>2280</v>
      </c>
      <c r="B10" s="20">
        <v>44844</v>
      </c>
      <c r="C10" s="110">
        <f t="shared" si="0"/>
        <v>44844</v>
      </c>
    </row>
    <row r="11" spans="1:15">
      <c r="A11" s="2" t="s">
        <v>2281</v>
      </c>
      <c r="B11" s="20">
        <v>44876</v>
      </c>
      <c r="C11" s="110">
        <f t="shared" si="0"/>
        <v>44876</v>
      </c>
    </row>
    <row r="12" spans="1:15">
      <c r="A12" s="2" t="s">
        <v>1663</v>
      </c>
      <c r="B12" s="20">
        <v>44889</v>
      </c>
      <c r="C12" s="110">
        <f t="shared" si="0"/>
        <v>44889</v>
      </c>
    </row>
    <row r="13" spans="1:15">
      <c r="A13" s="2" t="s">
        <v>2282</v>
      </c>
      <c r="B13" s="20">
        <v>44920</v>
      </c>
      <c r="C13" s="110">
        <f t="shared" si="0"/>
        <v>44920</v>
      </c>
    </row>
  </sheetData>
  <mergeCells count="1">
    <mergeCell ref="A1:C1"/>
  </mergeCells>
  <pageMargins left="0.7" right="0.7" top="0.75" bottom="0.75" header="0.3" footer="0.3"/>
  <pageSetup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58ADA-4098-4DE1-B6D3-200F63B2DEDA}">
  <sheetPr codeName="Sheet241"/>
  <dimension ref="A1:D5"/>
  <sheetViews>
    <sheetView workbookViewId="0"/>
  </sheetViews>
  <sheetFormatPr defaultRowHeight="14.4"/>
  <cols>
    <col min="1" max="1" width="10" bestFit="1" customWidth="1"/>
    <col min="2" max="3" width="10.44140625" bestFit="1" customWidth="1"/>
    <col min="4" max="4" width="15.88671875" bestFit="1" customWidth="1"/>
  </cols>
  <sheetData>
    <row r="1" spans="1:4">
      <c r="A1" s="1" t="s">
        <v>1135</v>
      </c>
      <c r="B1" s="1" t="s">
        <v>2292</v>
      </c>
      <c r="C1" s="1" t="s">
        <v>1669</v>
      </c>
      <c r="D1" s="1" t="s">
        <v>2293</v>
      </c>
    </row>
    <row r="2" spans="1:4">
      <c r="A2" s="20">
        <v>44696</v>
      </c>
      <c r="B2" s="20">
        <v>44711</v>
      </c>
      <c r="C2" s="20">
        <v>44711</v>
      </c>
      <c r="D2" s="7">
        <v>10</v>
      </c>
    </row>
    <row r="3" spans="1:4">
      <c r="A3" s="20">
        <v>44713</v>
      </c>
      <c r="B3" s="20">
        <v>44742</v>
      </c>
      <c r="C3" s="2"/>
      <c r="D3" s="7">
        <v>22</v>
      </c>
    </row>
    <row r="4" spans="1:4">
      <c r="A4" s="398">
        <v>44866</v>
      </c>
      <c r="B4" s="398">
        <v>44910</v>
      </c>
      <c r="C4" s="20">
        <v>44876</v>
      </c>
      <c r="D4" s="399">
        <v>31</v>
      </c>
    </row>
    <row r="5" spans="1:4">
      <c r="A5" s="398"/>
      <c r="B5" s="398"/>
      <c r="C5" s="20">
        <v>44889</v>
      </c>
      <c r="D5" s="399"/>
    </row>
  </sheetData>
  <mergeCells count="3">
    <mergeCell ref="A4:A5"/>
    <mergeCell ref="B4:B5"/>
    <mergeCell ref="D4:D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DB88-EDD0-4535-B835-EF2A2583CF88}">
  <sheetPr codeName="Sheet242"/>
  <dimension ref="A1:H11"/>
  <sheetViews>
    <sheetView workbookViewId="0">
      <selection activeCell="G3" sqref="G3"/>
    </sheetView>
  </sheetViews>
  <sheetFormatPr defaultRowHeight="14.4"/>
  <cols>
    <col min="1" max="1" width="16.88671875" bestFit="1" customWidth="1"/>
    <col min="2" max="2" width="11.33203125" bestFit="1" customWidth="1"/>
    <col min="6" max="6" width="20.5546875" bestFit="1" customWidth="1"/>
    <col min="7" max="7" width="11" bestFit="1" customWidth="1"/>
    <col min="8" max="8" width="41.88671875" bestFit="1" customWidth="1"/>
  </cols>
  <sheetData>
    <row r="1" spans="1:8">
      <c r="A1" s="1" t="s">
        <v>2296</v>
      </c>
      <c r="B1" s="1" t="s">
        <v>1188</v>
      </c>
      <c r="E1" s="400" t="s">
        <v>2320</v>
      </c>
      <c r="F1" s="368"/>
      <c r="G1" s="368"/>
      <c r="H1" s="368"/>
    </row>
    <row r="2" spans="1:8" ht="16.2">
      <c r="A2" s="3" t="s">
        <v>2297</v>
      </c>
      <c r="B2" s="2">
        <v>170</v>
      </c>
      <c r="E2" s="1" t="s">
        <v>2307</v>
      </c>
      <c r="F2" s="1" t="s">
        <v>2308</v>
      </c>
      <c r="G2" s="1" t="s">
        <v>2319</v>
      </c>
      <c r="H2" s="1" t="s">
        <v>2309</v>
      </c>
    </row>
    <row r="3" spans="1:8" ht="16.2">
      <c r="A3" s="3" t="s">
        <v>2298</v>
      </c>
      <c r="B3" s="2">
        <v>185</v>
      </c>
      <c r="E3" s="2">
        <v>0.2</v>
      </c>
      <c r="F3" s="2" t="s">
        <v>2314</v>
      </c>
      <c r="G3" s="7">
        <f>PERCENTILE($B$2:$B$11,E3)</f>
        <v>165.8</v>
      </c>
      <c r="H3" s="65" t="s">
        <v>2310</v>
      </c>
    </row>
    <row r="4" spans="1:8" ht="16.2">
      <c r="A4" s="3" t="s">
        <v>2299</v>
      </c>
      <c r="B4" s="2">
        <v>177</v>
      </c>
      <c r="E4" s="2">
        <v>0.3</v>
      </c>
      <c r="F4" s="2" t="s">
        <v>2315</v>
      </c>
      <c r="G4" s="7">
        <f>PERCENTILE($B$2:$B$11,E4)</f>
        <v>168.1</v>
      </c>
      <c r="H4" s="65" t="s">
        <v>2311</v>
      </c>
    </row>
    <row r="5" spans="1:8" ht="16.2">
      <c r="A5" s="3" t="s">
        <v>2300</v>
      </c>
      <c r="B5" s="2">
        <v>173</v>
      </c>
      <c r="E5" s="2">
        <v>0.5</v>
      </c>
      <c r="F5" s="2" t="s">
        <v>2316</v>
      </c>
      <c r="G5" s="7">
        <f>PERCENTILE($B$2:$B$11,E5)</f>
        <v>171.5</v>
      </c>
      <c r="H5" s="65" t="s">
        <v>2312</v>
      </c>
    </row>
    <row r="6" spans="1:8" ht="16.2">
      <c r="A6" s="3" t="s">
        <v>2301</v>
      </c>
      <c r="B6" s="2">
        <v>166</v>
      </c>
      <c r="E6" s="2">
        <v>0.7</v>
      </c>
      <c r="F6" s="2" t="s">
        <v>2317</v>
      </c>
      <c r="G6" s="7">
        <f>PERCENTILE($B$2:$B$11,E6)</f>
        <v>177.9</v>
      </c>
      <c r="H6" s="65" t="s">
        <v>2313</v>
      </c>
    </row>
    <row r="7" spans="1:8" ht="16.2">
      <c r="A7" s="3" t="s">
        <v>2302</v>
      </c>
      <c r="B7" s="2">
        <v>165</v>
      </c>
      <c r="E7" s="2">
        <v>0.9</v>
      </c>
      <c r="F7" s="2" t="s">
        <v>2318</v>
      </c>
      <c r="G7" s="7">
        <f>PERCENTILE($B$2:$B$11,E7)</f>
        <v>181.4</v>
      </c>
      <c r="H7" s="65" t="s">
        <v>2321</v>
      </c>
    </row>
    <row r="8" spans="1:8">
      <c r="A8" s="3" t="s">
        <v>2303</v>
      </c>
      <c r="B8" s="2">
        <v>169</v>
      </c>
    </row>
    <row r="9" spans="1:8">
      <c r="A9" s="3" t="s">
        <v>2304</v>
      </c>
      <c r="B9" s="2">
        <v>180</v>
      </c>
    </row>
    <row r="10" spans="1:8">
      <c r="A10" s="3" t="s">
        <v>2305</v>
      </c>
      <c r="B10" s="2">
        <v>181</v>
      </c>
    </row>
    <row r="11" spans="1:8">
      <c r="A11" s="3" t="s">
        <v>2306</v>
      </c>
      <c r="B11" s="2">
        <v>164</v>
      </c>
    </row>
  </sheetData>
  <mergeCells count="1">
    <mergeCell ref="E1:H1"/>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54C7-4A6B-419D-A198-0DA266D3BA16}">
  <sheetPr codeName="Sheet243"/>
  <dimension ref="A1:I14"/>
  <sheetViews>
    <sheetView workbookViewId="0">
      <selection activeCell="G3" sqref="G3"/>
    </sheetView>
  </sheetViews>
  <sheetFormatPr defaultRowHeight="14.4"/>
  <cols>
    <col min="1" max="1" width="18" bestFit="1" customWidth="1"/>
    <col min="2" max="2" width="27.88671875" bestFit="1" customWidth="1"/>
    <col min="7" max="7" width="17.88671875" bestFit="1" customWidth="1"/>
  </cols>
  <sheetData>
    <row r="1" spans="1:9">
      <c r="A1" s="1" t="s">
        <v>0</v>
      </c>
      <c r="B1" s="1" t="s">
        <v>2322</v>
      </c>
    </row>
    <row r="2" spans="1:9">
      <c r="A2" s="3" t="s">
        <v>2323</v>
      </c>
      <c r="B2" s="2">
        <v>95</v>
      </c>
      <c r="I2">
        <f>PERCENTILE(B2:B11,0.25)</f>
        <v>71.25</v>
      </c>
    </row>
    <row r="3" spans="1:9">
      <c r="A3" s="3" t="s">
        <v>2324</v>
      </c>
      <c r="B3" s="2">
        <v>100</v>
      </c>
      <c r="I3">
        <f>PERCENTILE(B2:B11,25%)</f>
        <v>71.25</v>
      </c>
    </row>
    <row r="4" spans="1:9">
      <c r="A4" s="3" t="s">
        <v>2325</v>
      </c>
      <c r="B4" s="2">
        <v>75</v>
      </c>
      <c r="I4">
        <f>PERCENTILE({95,100,75,88,80,87,70,65,55,90}, 0.25)</f>
        <v>71.25</v>
      </c>
    </row>
    <row r="5" spans="1:9">
      <c r="A5" s="3" t="s">
        <v>2326</v>
      </c>
      <c r="B5" s="2">
        <v>88</v>
      </c>
    </row>
    <row r="6" spans="1:9">
      <c r="A6" s="3" t="s">
        <v>2327</v>
      </c>
      <c r="B6" s="2">
        <v>80</v>
      </c>
    </row>
    <row r="7" spans="1:9">
      <c r="A7" s="3" t="s">
        <v>2328</v>
      </c>
      <c r="B7" s="2">
        <v>87</v>
      </c>
    </row>
    <row r="8" spans="1:9">
      <c r="A8" s="3" t="s">
        <v>2329</v>
      </c>
      <c r="B8" s="2">
        <v>70</v>
      </c>
    </row>
    <row r="9" spans="1:9">
      <c r="A9" s="3" t="s">
        <v>2330</v>
      </c>
      <c r="B9" s="2">
        <v>65</v>
      </c>
    </row>
    <row r="10" spans="1:9">
      <c r="A10" s="3" t="s">
        <v>2331</v>
      </c>
      <c r="B10" s="2">
        <v>55</v>
      </c>
    </row>
    <row r="11" spans="1:9">
      <c r="A11" s="3" t="s">
        <v>2332</v>
      </c>
      <c r="B11" s="2">
        <v>90</v>
      </c>
    </row>
    <row r="14" spans="1:9" ht="16.2">
      <c r="A14" s="1" t="s">
        <v>2333</v>
      </c>
      <c r="B14" s="7">
        <f>PERCENTILE({95,100,75,88,80,87,70,65,55,90}, 0.25)</f>
        <v>71.25</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2DDA-4EBD-4FAD-95AB-E296C1AD646B}">
  <sheetPr codeName="Sheet244"/>
  <dimension ref="A1:F7"/>
  <sheetViews>
    <sheetView workbookViewId="0">
      <selection activeCell="G3" sqref="G3"/>
    </sheetView>
  </sheetViews>
  <sheetFormatPr defaultRowHeight="14.4"/>
  <cols>
    <col min="1" max="1" width="11.5546875" customWidth="1"/>
    <col min="2" max="2" width="11" bestFit="1" customWidth="1"/>
    <col min="5" max="5" width="12.88671875" bestFit="1" customWidth="1"/>
  </cols>
  <sheetData>
    <row r="1" spans="1:6" ht="16.2">
      <c r="A1" s="1" t="s">
        <v>902</v>
      </c>
      <c r="B1" s="1" t="s">
        <v>2334</v>
      </c>
      <c r="E1" s="1" t="s">
        <v>2342</v>
      </c>
      <c r="F1" s="7">
        <f>PERCENTILE(B2:B7,0.4)</f>
        <v>53</v>
      </c>
    </row>
    <row r="2" spans="1:6" ht="16.2">
      <c r="A2" s="2" t="s">
        <v>2335</v>
      </c>
      <c r="B2" s="2">
        <v>54</v>
      </c>
      <c r="E2" s="1" t="s">
        <v>2341</v>
      </c>
      <c r="F2" s="7">
        <f>PERCENTILE(B2:B7,0.5)</f>
        <v>53.5</v>
      </c>
    </row>
    <row r="3" spans="1:6">
      <c r="A3" s="2" t="s">
        <v>2336</v>
      </c>
      <c r="B3" s="2">
        <v>52</v>
      </c>
    </row>
    <row r="4" spans="1:6">
      <c r="A4" s="2" t="s">
        <v>2337</v>
      </c>
      <c r="B4" s="2">
        <v>53</v>
      </c>
    </row>
    <row r="5" spans="1:6">
      <c r="A5" s="2" t="s">
        <v>2338</v>
      </c>
      <c r="B5" s="2">
        <v>51</v>
      </c>
    </row>
    <row r="6" spans="1:6">
      <c r="A6" s="2" t="s">
        <v>2339</v>
      </c>
      <c r="B6" s="2">
        <v>55</v>
      </c>
    </row>
    <row r="7" spans="1:6">
      <c r="A7" s="2" t="s">
        <v>2340</v>
      </c>
      <c r="B7" s="2">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49B-170A-4C57-BA6A-C80F2CB09828}">
  <sheetPr codeName="Sheet245"/>
  <dimension ref="A1:G11"/>
  <sheetViews>
    <sheetView workbookViewId="0">
      <selection activeCell="G3" sqref="G3"/>
    </sheetView>
  </sheetViews>
  <sheetFormatPr defaultRowHeight="14.4"/>
  <cols>
    <col min="1" max="1" width="16.109375" bestFit="1" customWidth="1"/>
    <col min="2" max="2" width="27.44140625" bestFit="1" customWidth="1"/>
    <col min="3" max="3" width="5.109375" bestFit="1" customWidth="1"/>
    <col min="7" max="7" width="12.5546875" bestFit="1" customWidth="1"/>
  </cols>
  <sheetData>
    <row r="1" spans="1:7" ht="16.2">
      <c r="A1" s="1" t="s">
        <v>1776</v>
      </c>
      <c r="B1" s="1" t="s">
        <v>2343</v>
      </c>
      <c r="C1" s="1" t="s">
        <v>352</v>
      </c>
      <c r="F1" s="1" t="s">
        <v>352</v>
      </c>
      <c r="G1" s="1" t="s">
        <v>2341</v>
      </c>
    </row>
    <row r="2" spans="1:7">
      <c r="A2" s="2" t="s">
        <v>2015</v>
      </c>
      <c r="B2" s="53">
        <v>450696</v>
      </c>
      <c r="C2" s="2" t="s">
        <v>2344</v>
      </c>
      <c r="F2" s="2" t="s">
        <v>2344</v>
      </c>
      <c r="G2" s="67">
        <f t="array" ref="G2">PERCENTILE(IF(C2:C11=F2,B2:B11),0.5)</f>
        <v>386174</v>
      </c>
    </row>
    <row r="3" spans="1:7">
      <c r="A3" s="2" t="s">
        <v>2016</v>
      </c>
      <c r="B3" s="53">
        <v>417335</v>
      </c>
      <c r="C3" s="2" t="s">
        <v>2345</v>
      </c>
    </row>
    <row r="4" spans="1:7">
      <c r="A4" s="2" t="s">
        <v>2018</v>
      </c>
      <c r="B4" s="53">
        <v>394259</v>
      </c>
      <c r="C4" s="2" t="s">
        <v>2346</v>
      </c>
    </row>
    <row r="5" spans="1:7">
      <c r="A5" s="2" t="s">
        <v>2019</v>
      </c>
      <c r="B5" s="53">
        <v>386174</v>
      </c>
      <c r="C5" s="2" t="s">
        <v>2344</v>
      </c>
    </row>
    <row r="6" spans="1:7">
      <c r="A6" s="2" t="s">
        <v>2017</v>
      </c>
      <c r="B6" s="53">
        <v>373128</v>
      </c>
      <c r="C6" s="2" t="s">
        <v>2344</v>
      </c>
    </row>
    <row r="7" spans="1:7">
      <c r="A7" s="2" t="s">
        <v>2020</v>
      </c>
      <c r="B7" s="53">
        <v>367491</v>
      </c>
      <c r="C7" s="2" t="s">
        <v>2347</v>
      </c>
    </row>
    <row r="8" spans="1:7">
      <c r="A8" s="2" t="s">
        <v>2021</v>
      </c>
      <c r="B8" s="53">
        <v>358994</v>
      </c>
      <c r="C8" s="2" t="s">
        <v>2348</v>
      </c>
      <c r="G8" s="137"/>
    </row>
    <row r="9" spans="1:7">
      <c r="A9" s="2" t="s">
        <v>2023</v>
      </c>
      <c r="B9" s="53">
        <v>341090</v>
      </c>
      <c r="C9" s="2" t="s">
        <v>2349</v>
      </c>
    </row>
    <row r="10" spans="1:7">
      <c r="A10" s="2" t="s">
        <v>2026</v>
      </c>
      <c r="B10" s="53">
        <v>340448</v>
      </c>
      <c r="C10" s="2" t="s">
        <v>2345</v>
      </c>
    </row>
    <row r="11" spans="1:7">
      <c r="A11" s="2" t="s">
        <v>2022</v>
      </c>
      <c r="B11" s="53">
        <v>339883</v>
      </c>
      <c r="C11" s="2" t="s">
        <v>2350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8E46-FADD-4255-A2E9-14C7A411A34F}">
  <sheetPr codeName="Sheet246"/>
  <dimension ref="A1:B16"/>
  <sheetViews>
    <sheetView workbookViewId="0">
      <selection activeCell="G3" sqref="G3"/>
    </sheetView>
  </sheetViews>
  <sheetFormatPr defaultRowHeight="14.4"/>
  <cols>
    <col min="1" max="1" width="17.5546875" bestFit="1" customWidth="1"/>
    <col min="2" max="2" width="17.109375" bestFit="1" customWidth="1"/>
  </cols>
  <sheetData>
    <row r="1" spans="1:2">
      <c r="A1" s="1" t="s">
        <v>155</v>
      </c>
      <c r="B1" s="1" t="s">
        <v>2351</v>
      </c>
    </row>
    <row r="2" spans="1:2">
      <c r="A2" s="3" t="s">
        <v>2352</v>
      </c>
      <c r="B2" s="2">
        <v>6500</v>
      </c>
    </row>
    <row r="3" spans="1:2">
      <c r="A3" s="3" t="s">
        <v>2353</v>
      </c>
      <c r="B3" s="2">
        <v>6200</v>
      </c>
    </row>
    <row r="4" spans="1:2">
      <c r="A4" s="3" t="s">
        <v>2354</v>
      </c>
      <c r="B4" s="2">
        <v>5700</v>
      </c>
    </row>
    <row r="5" spans="1:2">
      <c r="A5" s="3" t="s">
        <v>2355</v>
      </c>
      <c r="B5" s="2">
        <v>6100</v>
      </c>
    </row>
    <row r="6" spans="1:2">
      <c r="A6" s="3" t="s">
        <v>2356</v>
      </c>
      <c r="B6" s="2">
        <v>5900</v>
      </c>
    </row>
    <row r="7" spans="1:2">
      <c r="A7" s="3" t="s">
        <v>2357</v>
      </c>
      <c r="B7" s="2">
        <v>6000</v>
      </c>
    </row>
    <row r="8" spans="1:2">
      <c r="A8" s="3" t="s">
        <v>2358</v>
      </c>
      <c r="B8" s="2">
        <v>5800</v>
      </c>
    </row>
    <row r="9" spans="1:2">
      <c r="A9" s="3" t="s">
        <v>2359</v>
      </c>
      <c r="B9" s="2">
        <v>6010</v>
      </c>
    </row>
    <row r="10" spans="1:2">
      <c r="A10" s="3" t="s">
        <v>2360</v>
      </c>
      <c r="B10" s="2">
        <v>6300</v>
      </c>
    </row>
    <row r="11" spans="1:2">
      <c r="A11" s="3" t="s">
        <v>2361</v>
      </c>
      <c r="B11" s="2">
        <v>5500</v>
      </c>
    </row>
    <row r="14" spans="1:2" ht="16.2">
      <c r="A14" s="369" t="s">
        <v>2364</v>
      </c>
      <c r="B14" s="369"/>
    </row>
    <row r="15" spans="1:2">
      <c r="A15" s="2" t="s">
        <v>2362</v>
      </c>
      <c r="B15" s="67">
        <f>_xlfn.PERCENTILE.INC(B2:B11,90%)</f>
        <v>6320</v>
      </c>
    </row>
    <row r="16" spans="1:2">
      <c r="A16" s="2" t="s">
        <v>2363</v>
      </c>
      <c r="B16" s="67">
        <f>PERCENTILE(B2:B11,90%)</f>
        <v>6320</v>
      </c>
    </row>
  </sheetData>
  <mergeCells count="1">
    <mergeCell ref="A14:B14"/>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2728-2501-4350-A150-C39EBDADC185}">
  <sheetPr codeName="Sheet247"/>
  <dimension ref="A1:B16"/>
  <sheetViews>
    <sheetView workbookViewId="0">
      <selection activeCell="B16" sqref="B16"/>
    </sheetView>
  </sheetViews>
  <sheetFormatPr defaultRowHeight="14.4"/>
  <cols>
    <col min="1" max="1" width="12.88671875" bestFit="1" customWidth="1"/>
    <col min="2" max="2" width="13.5546875" bestFit="1" customWidth="1"/>
  </cols>
  <sheetData>
    <row r="1" spans="1:2">
      <c r="A1" s="1" t="s">
        <v>32</v>
      </c>
      <c r="B1" s="1" t="s">
        <v>2034</v>
      </c>
    </row>
    <row r="2" spans="1:2">
      <c r="A2" s="2" t="s">
        <v>47</v>
      </c>
      <c r="B2" s="2">
        <v>25000</v>
      </c>
    </row>
    <row r="3" spans="1:2">
      <c r="A3" s="2" t="s">
        <v>48</v>
      </c>
      <c r="B3" s="2">
        <v>26530</v>
      </c>
    </row>
    <row r="4" spans="1:2">
      <c r="A4" s="2" t="s">
        <v>49</v>
      </c>
      <c r="B4" s="2">
        <v>24890</v>
      </c>
    </row>
    <row r="5" spans="1:2">
      <c r="A5" s="2" t="s">
        <v>50</v>
      </c>
      <c r="B5" s="2">
        <v>25570</v>
      </c>
    </row>
    <row r="6" spans="1:2">
      <c r="A6" s="2" t="s">
        <v>51</v>
      </c>
      <c r="B6" s="2">
        <v>28340</v>
      </c>
    </row>
    <row r="7" spans="1:2">
      <c r="A7" s="2" t="s">
        <v>52</v>
      </c>
      <c r="B7" s="2">
        <v>30440</v>
      </c>
    </row>
    <row r="8" spans="1:2">
      <c r="A8" s="2" t="s">
        <v>53</v>
      </c>
      <c r="B8" s="2">
        <v>31280</v>
      </c>
    </row>
    <row r="9" spans="1:2">
      <c r="A9" s="2" t="s">
        <v>54</v>
      </c>
      <c r="B9" s="2">
        <v>21450</v>
      </c>
    </row>
    <row r="10" spans="1:2">
      <c r="A10" s="2" t="s">
        <v>55</v>
      </c>
      <c r="B10" s="2">
        <v>22765</v>
      </c>
    </row>
    <row r="11" spans="1:2">
      <c r="A11" s="2" t="s">
        <v>56</v>
      </c>
      <c r="B11" s="2">
        <v>21000</v>
      </c>
    </row>
    <row r="12" spans="1:2">
      <c r="A12" s="2" t="s">
        <v>57</v>
      </c>
      <c r="B12" s="2">
        <v>26290</v>
      </c>
    </row>
    <row r="13" spans="1:2">
      <c r="A13" s="2" t="s">
        <v>58</v>
      </c>
      <c r="B13" s="2">
        <v>27830</v>
      </c>
    </row>
    <row r="16" spans="1:2" ht="16.2">
      <c r="A16" s="68" t="s">
        <v>2365</v>
      </c>
      <c r="B16" s="47">
        <f>PERCENTILE(B2:B13,95%)</f>
        <v>30818</v>
      </c>
    </row>
  </sheetData>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03ED-65A4-48BD-BCF1-19ADA98F64B3}">
  <sheetPr codeName="Sheet248"/>
  <dimension ref="A1:G11"/>
  <sheetViews>
    <sheetView workbookViewId="0"/>
  </sheetViews>
  <sheetFormatPr defaultRowHeight="14.4"/>
  <cols>
    <col min="1" max="1" width="17.44140625" bestFit="1" customWidth="1"/>
    <col min="2" max="3" width="17.44140625" customWidth="1"/>
    <col min="4" max="4" width="13.33203125" bestFit="1" customWidth="1"/>
    <col min="6" max="6" width="14.88671875" customWidth="1"/>
    <col min="7" max="7" width="45.109375" customWidth="1"/>
  </cols>
  <sheetData>
    <row r="1" spans="1:7">
      <c r="A1" s="1" t="s">
        <v>0</v>
      </c>
      <c r="B1" s="1" t="s">
        <v>2378</v>
      </c>
      <c r="C1" s="1" t="s">
        <v>2379</v>
      </c>
      <c r="D1" s="1" t="s">
        <v>2366</v>
      </c>
      <c r="F1" s="369" t="s">
        <v>2380</v>
      </c>
      <c r="G1" s="369"/>
    </row>
    <row r="2" spans="1:7" ht="16.2">
      <c r="A2" s="3" t="s">
        <v>2367</v>
      </c>
      <c r="B2" s="3" t="s">
        <v>286</v>
      </c>
      <c r="C2" s="3" t="s">
        <v>287</v>
      </c>
      <c r="D2" s="2">
        <v>85</v>
      </c>
      <c r="F2" s="1" t="s">
        <v>2377</v>
      </c>
      <c r="G2" s="7">
        <f t="array" ref="G2">PERCENTILE(IF((B2:B11="Yes")*(C2:C11="Yes"),D2:D11),0.9)</f>
        <v>94.7</v>
      </c>
    </row>
    <row r="3" spans="1:7">
      <c r="A3" s="3" t="s">
        <v>2368</v>
      </c>
      <c r="B3" s="3" t="s">
        <v>286</v>
      </c>
      <c r="C3" s="3" t="s">
        <v>286</v>
      </c>
      <c r="D3" s="2">
        <v>92</v>
      </c>
    </row>
    <row r="4" spans="1:7">
      <c r="A4" s="3" t="s">
        <v>2369</v>
      </c>
      <c r="B4" s="3" t="s">
        <v>286</v>
      </c>
      <c r="C4" s="3" t="s">
        <v>287</v>
      </c>
      <c r="D4" s="2">
        <v>88</v>
      </c>
    </row>
    <row r="5" spans="1:7">
      <c r="A5" s="3" t="s">
        <v>2370</v>
      </c>
      <c r="B5" s="3" t="s">
        <v>287</v>
      </c>
      <c r="C5" s="3" t="s">
        <v>286</v>
      </c>
      <c r="D5" s="2">
        <v>89</v>
      </c>
    </row>
    <row r="6" spans="1:7">
      <c r="A6" s="3" t="s">
        <v>2371</v>
      </c>
      <c r="B6" s="3" t="s">
        <v>286</v>
      </c>
      <c r="C6" s="3" t="s">
        <v>286</v>
      </c>
      <c r="D6" s="2">
        <v>95</v>
      </c>
    </row>
    <row r="7" spans="1:7">
      <c r="A7" s="3" t="s">
        <v>2372</v>
      </c>
      <c r="B7" s="3" t="s">
        <v>287</v>
      </c>
      <c r="C7" s="3" t="s">
        <v>287</v>
      </c>
      <c r="D7" s="2">
        <v>84</v>
      </c>
    </row>
    <row r="8" spans="1:7">
      <c r="A8" s="3" t="s">
        <v>2373</v>
      </c>
      <c r="B8" s="3" t="s">
        <v>286</v>
      </c>
      <c r="C8" s="3" t="s">
        <v>287</v>
      </c>
      <c r="D8" s="2">
        <v>77</v>
      </c>
    </row>
    <row r="9" spans="1:7">
      <c r="A9" s="3" t="s">
        <v>2374</v>
      </c>
      <c r="B9" s="3" t="s">
        <v>287</v>
      </c>
      <c r="C9" s="3" t="s">
        <v>287</v>
      </c>
      <c r="D9" s="2">
        <v>75</v>
      </c>
    </row>
    <row r="10" spans="1:7">
      <c r="A10" s="3" t="s">
        <v>2375</v>
      </c>
      <c r="B10" s="3" t="s">
        <v>287</v>
      </c>
      <c r="C10" s="3" t="s">
        <v>287</v>
      </c>
      <c r="D10" s="2">
        <v>79</v>
      </c>
    </row>
    <row r="11" spans="1:7">
      <c r="A11" s="3" t="s">
        <v>2376</v>
      </c>
      <c r="B11" s="3" t="s">
        <v>287</v>
      </c>
      <c r="C11" s="3" t="s">
        <v>286</v>
      </c>
      <c r="D11" s="2">
        <v>93</v>
      </c>
    </row>
  </sheetData>
  <mergeCells count="1">
    <mergeCell ref="F1:G1"/>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29F4-C48B-40A7-8972-A3C10AFAEE88}">
  <sheetPr codeName="Sheet249"/>
  <dimension ref="A1:E8"/>
  <sheetViews>
    <sheetView workbookViewId="0">
      <selection activeCell="D2" sqref="D2"/>
    </sheetView>
  </sheetViews>
  <sheetFormatPr defaultRowHeight="14.4"/>
  <cols>
    <col min="1" max="1" width="9.88671875" bestFit="1" customWidth="1"/>
    <col min="2" max="2" width="39.109375" bestFit="1" customWidth="1"/>
    <col min="3" max="3" width="37.33203125" bestFit="1" customWidth="1"/>
    <col min="4" max="4" width="19.109375" customWidth="1"/>
    <col min="5" max="5" width="37.109375" customWidth="1"/>
  </cols>
  <sheetData>
    <row r="1" spans="1:5">
      <c r="A1" s="1" t="s">
        <v>1727</v>
      </c>
      <c r="B1" s="1" t="s">
        <v>1138</v>
      </c>
      <c r="C1" s="1" t="s">
        <v>2392</v>
      </c>
      <c r="D1" s="1" t="s">
        <v>2381</v>
      </c>
      <c r="E1" s="1" t="s">
        <v>1977</v>
      </c>
    </row>
    <row r="2" spans="1:5">
      <c r="A2" s="2">
        <v>3.1415920000000002</v>
      </c>
      <c r="B2" s="2" t="s">
        <v>2396</v>
      </c>
      <c r="C2" s="2">
        <v>0</v>
      </c>
      <c r="D2" s="7">
        <f>ROUNDDOWN(A2,C2)</f>
        <v>3</v>
      </c>
      <c r="E2" s="55" t="s">
        <v>2385</v>
      </c>
    </row>
    <row r="3" spans="1:5">
      <c r="A3" s="2">
        <v>3.1415920000000002</v>
      </c>
      <c r="B3" s="2" t="s">
        <v>2393</v>
      </c>
      <c r="C3" s="2">
        <v>2</v>
      </c>
      <c r="D3" s="7">
        <f t="shared" ref="D3:D8" si="0">ROUNDDOWN(A3,C3)</f>
        <v>3.14</v>
      </c>
      <c r="E3" s="55" t="s">
        <v>2386</v>
      </c>
    </row>
    <row r="4" spans="1:5">
      <c r="A4" s="2">
        <v>3.1415920000000002</v>
      </c>
      <c r="B4" s="2" t="s">
        <v>2394</v>
      </c>
      <c r="C4" s="2">
        <v>4</v>
      </c>
      <c r="D4" s="7">
        <f t="shared" si="0"/>
        <v>3.1415000000000002</v>
      </c>
      <c r="E4" s="55" t="s">
        <v>2387</v>
      </c>
    </row>
    <row r="5" spans="1:5">
      <c r="A5" s="2">
        <v>3.1415920000000002</v>
      </c>
      <c r="B5" s="2" t="s">
        <v>2395</v>
      </c>
      <c r="C5" s="2">
        <v>6</v>
      </c>
      <c r="D5" s="7">
        <f t="shared" si="0"/>
        <v>3.1415920000000002</v>
      </c>
      <c r="E5" s="55" t="s">
        <v>2388</v>
      </c>
    </row>
    <row r="6" spans="1:5">
      <c r="A6" s="2">
        <v>3085135.4</v>
      </c>
      <c r="B6" s="2" t="s">
        <v>2382</v>
      </c>
      <c r="C6" s="2">
        <v>-6</v>
      </c>
      <c r="D6" s="7">
        <f t="shared" si="0"/>
        <v>3000000</v>
      </c>
      <c r="E6" s="55" t="s">
        <v>2389</v>
      </c>
    </row>
    <row r="7" spans="1:5">
      <c r="A7" s="2">
        <v>3085135.4</v>
      </c>
      <c r="B7" s="2" t="s">
        <v>2383</v>
      </c>
      <c r="C7" s="2">
        <v>-4</v>
      </c>
      <c r="D7" s="7">
        <f t="shared" si="0"/>
        <v>3080000</v>
      </c>
      <c r="E7" s="55" t="s">
        <v>2390</v>
      </c>
    </row>
    <row r="8" spans="1:5">
      <c r="A8" s="2">
        <v>3085135.4</v>
      </c>
      <c r="B8" s="2" t="s">
        <v>2384</v>
      </c>
      <c r="C8" s="2">
        <v>-2</v>
      </c>
      <c r="D8" s="7">
        <f t="shared" si="0"/>
        <v>3085100</v>
      </c>
      <c r="E8" s="55" t="s">
        <v>2391</v>
      </c>
    </row>
  </sheetData>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BDF-E79D-43D3-9950-E82B572FD69D}">
  <sheetPr codeName="Sheet250"/>
  <dimension ref="A1:C9"/>
  <sheetViews>
    <sheetView workbookViewId="0">
      <selection activeCell="D2" sqref="D2"/>
    </sheetView>
  </sheetViews>
  <sheetFormatPr defaultRowHeight="14.4"/>
  <cols>
    <col min="1" max="1" width="12.33203125" bestFit="1" customWidth="1"/>
    <col min="2" max="2" width="8.44140625" bestFit="1" customWidth="1"/>
    <col min="3" max="3" width="32.88671875" bestFit="1" customWidth="1"/>
  </cols>
  <sheetData>
    <row r="1" spans="1:3">
      <c r="A1" s="1" t="s">
        <v>533</v>
      </c>
      <c r="B1" s="1" t="s">
        <v>136</v>
      </c>
      <c r="C1" s="1" t="s">
        <v>2397</v>
      </c>
    </row>
    <row r="2" spans="1:3" ht="15.6">
      <c r="A2" s="2" t="s">
        <v>544</v>
      </c>
      <c r="B2" s="2">
        <v>3.5283000000000002</v>
      </c>
      <c r="C2" s="96">
        <f>ROUNDDOWN(B2,2)</f>
        <v>3.52</v>
      </c>
    </row>
    <row r="3" spans="1:3" ht="15.6">
      <c r="A3" s="2" t="s">
        <v>545</v>
      </c>
      <c r="B3" s="2">
        <v>5.9744999999999999</v>
      </c>
      <c r="C3" s="96">
        <f t="shared" ref="C3:C9" si="0">ROUNDDOWN(B3,2)</f>
        <v>5.97</v>
      </c>
    </row>
    <row r="4" spans="1:3" ht="15.6">
      <c r="A4" s="2" t="s">
        <v>547</v>
      </c>
      <c r="B4" s="2">
        <v>11.9634</v>
      </c>
      <c r="C4" s="96">
        <f t="shared" si="0"/>
        <v>11.96</v>
      </c>
    </row>
    <row r="5" spans="1:3" ht="15.6">
      <c r="A5" s="2" t="s">
        <v>548</v>
      </c>
      <c r="B5" s="2">
        <v>2.4878999999999998</v>
      </c>
      <c r="C5" s="96">
        <f t="shared" si="0"/>
        <v>2.48</v>
      </c>
    </row>
    <row r="6" spans="1:3" ht="15.6">
      <c r="A6" s="2" t="s">
        <v>865</v>
      </c>
      <c r="B6" s="2">
        <v>4.3829000000000002</v>
      </c>
      <c r="C6" s="96">
        <f t="shared" si="0"/>
        <v>4.38</v>
      </c>
    </row>
    <row r="7" spans="1:3" ht="15.6">
      <c r="A7" s="2" t="s">
        <v>549</v>
      </c>
      <c r="B7" s="2">
        <v>30.953399999999998</v>
      </c>
      <c r="C7" s="96">
        <f t="shared" si="0"/>
        <v>30.95</v>
      </c>
    </row>
    <row r="8" spans="1:3" ht="15.6">
      <c r="A8" s="2" t="s">
        <v>546</v>
      </c>
      <c r="B8" s="2">
        <v>5.2698</v>
      </c>
      <c r="C8" s="96">
        <f t="shared" si="0"/>
        <v>5.26</v>
      </c>
    </row>
    <row r="9" spans="1:3" ht="15.6">
      <c r="A9" s="2" t="s">
        <v>1824</v>
      </c>
      <c r="B9" s="2">
        <v>2.4744999999999999</v>
      </c>
      <c r="C9" s="96">
        <f t="shared" si="0"/>
        <v>2.4700000000000002</v>
      </c>
    </row>
  </sheetData>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BC623-2991-4083-88AE-7A8C1EA7F10A}">
  <sheetPr codeName="Sheet251"/>
  <dimension ref="A1:D6"/>
  <sheetViews>
    <sheetView workbookViewId="0">
      <selection activeCell="D2" sqref="D2"/>
    </sheetView>
  </sheetViews>
  <sheetFormatPr defaultRowHeight="14.4"/>
  <cols>
    <col min="1" max="1" width="14.109375" bestFit="1" customWidth="1"/>
    <col min="2" max="2" width="33.5546875" bestFit="1" customWidth="1"/>
    <col min="3" max="3" width="37.33203125" bestFit="1" customWidth="1"/>
    <col min="4" max="4" width="47.88671875" bestFit="1" customWidth="1"/>
  </cols>
  <sheetData>
    <row r="1" spans="1:4">
      <c r="A1" s="1" t="s">
        <v>871</v>
      </c>
      <c r="B1" s="1" t="s">
        <v>2399</v>
      </c>
      <c r="C1" s="1" t="s">
        <v>2392</v>
      </c>
      <c r="D1" s="1" t="s">
        <v>2404</v>
      </c>
    </row>
    <row r="2" spans="1:4">
      <c r="A2" s="19" t="s">
        <v>2398</v>
      </c>
      <c r="B2" s="19">
        <v>-0.85</v>
      </c>
      <c r="C2" s="2">
        <v>1</v>
      </c>
      <c r="D2" s="7">
        <f>ROUNDDOWN(B2,C2)</f>
        <v>-0.8</v>
      </c>
    </row>
    <row r="3" spans="1:4">
      <c r="A3" s="19" t="s">
        <v>2400</v>
      </c>
      <c r="B3" s="19">
        <v>-11.26</v>
      </c>
      <c r="C3" s="2">
        <v>-1</v>
      </c>
      <c r="D3" s="7">
        <f>ROUNDDOWN(B3,C3)</f>
        <v>-10</v>
      </c>
    </row>
    <row r="4" spans="1:4">
      <c r="A4" s="19" t="s">
        <v>2401</v>
      </c>
      <c r="B4" s="19">
        <v>-2.54</v>
      </c>
      <c r="C4" s="2">
        <v>2</v>
      </c>
      <c r="D4" s="7">
        <f>ROUNDDOWN(B4,C4)</f>
        <v>-2.54</v>
      </c>
    </row>
    <row r="5" spans="1:4">
      <c r="A5" s="19" t="s">
        <v>2402</v>
      </c>
      <c r="B5" s="138">
        <v>-2</v>
      </c>
      <c r="C5" s="2">
        <v>0</v>
      </c>
      <c r="D5" s="7">
        <f>ROUNDDOWN(B5,C5)</f>
        <v>-2</v>
      </c>
    </row>
    <row r="6" spans="1:4">
      <c r="A6" s="19" t="s">
        <v>2403</v>
      </c>
      <c r="B6" s="19">
        <v>-3.73</v>
      </c>
      <c r="C6" s="2">
        <v>-2</v>
      </c>
      <c r="D6" s="7">
        <f>ROUNDDOWN(B6,C6)</f>
        <v>0</v>
      </c>
    </row>
  </sheetData>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B7ED-7DE4-43A6-806D-89B4D0961C16}">
  <sheetPr codeName="Sheet252"/>
  <dimension ref="A1:E5"/>
  <sheetViews>
    <sheetView workbookViewId="0">
      <selection activeCell="D2" sqref="D2"/>
    </sheetView>
  </sheetViews>
  <sheetFormatPr defaultRowHeight="14.4"/>
  <cols>
    <col min="1" max="1" width="10.88671875" bestFit="1" customWidth="1"/>
    <col min="2" max="2" width="9.88671875" bestFit="1" customWidth="1"/>
    <col min="3" max="3" width="21.6640625" bestFit="1" customWidth="1"/>
    <col min="4" max="4" width="21.6640625" customWidth="1"/>
    <col min="5" max="5" width="58.109375" bestFit="1" customWidth="1"/>
  </cols>
  <sheetData>
    <row r="1" spans="1:5">
      <c r="A1" s="1" t="s">
        <v>9</v>
      </c>
      <c r="B1" s="1" t="s">
        <v>10</v>
      </c>
      <c r="C1" s="1" t="s">
        <v>11</v>
      </c>
      <c r="D1" s="1" t="s">
        <v>1738</v>
      </c>
      <c r="E1" s="1" t="s">
        <v>2405</v>
      </c>
    </row>
    <row r="2" spans="1:5">
      <c r="A2" s="2">
        <v>54.234560000000002</v>
      </c>
      <c r="B2" s="2">
        <v>34.429859</v>
      </c>
      <c r="C2" s="2" t="s">
        <v>2185</v>
      </c>
      <c r="D2" s="2">
        <f>A2+B2</f>
        <v>88.664419000000009</v>
      </c>
      <c r="E2" s="7">
        <f>ROUNDDOWN((A2+B2),0)</f>
        <v>88</v>
      </c>
    </row>
    <row r="3" spans="1:5">
      <c r="A3" s="2">
        <v>8934.2495699999999</v>
      </c>
      <c r="B3" s="2">
        <v>23.473891999999999</v>
      </c>
      <c r="C3" s="2" t="s">
        <v>2184</v>
      </c>
      <c r="D3" s="2">
        <f>A3-B3</f>
        <v>8910.775678</v>
      </c>
      <c r="E3" s="7">
        <f>ROUNDDOWN((A3-B3),0)</f>
        <v>8910</v>
      </c>
    </row>
    <row r="4" spans="1:5">
      <c r="A4" s="2">
        <v>3111.9430000000002</v>
      </c>
      <c r="B4" s="2">
        <v>4232.1139999999996</v>
      </c>
      <c r="C4" s="2" t="s">
        <v>2187</v>
      </c>
      <c r="D4" s="2">
        <f>A4*B4</f>
        <v>13170097.537502</v>
      </c>
      <c r="E4" s="7">
        <f>ROUNDDOWN((A4*B4),0)</f>
        <v>13170097</v>
      </c>
    </row>
    <row r="5" spans="1:5">
      <c r="A5" s="2">
        <v>2584.1342</v>
      </c>
      <c r="B5" s="2">
        <v>5.3983999999999996</v>
      </c>
      <c r="C5" s="2" t="s">
        <v>2183</v>
      </c>
      <c r="D5" s="2">
        <f>A5/B5</f>
        <v>478.68520302311799</v>
      </c>
      <c r="E5" s="7">
        <f>ROUNDDOWN((A5/B5),0)</f>
        <v>478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E5C8-BA60-4CBF-B3DF-B275046288BE}">
  <sheetPr codeName="Sheet253"/>
  <dimension ref="A1:F6"/>
  <sheetViews>
    <sheetView workbookViewId="0">
      <selection activeCell="D2" sqref="D2"/>
    </sheetView>
  </sheetViews>
  <sheetFormatPr defaultRowHeight="14.4"/>
  <cols>
    <col min="1" max="1" width="11.33203125" bestFit="1" customWidth="1"/>
    <col min="2" max="2" width="13.5546875" customWidth="1"/>
    <col min="5" max="5" width="11.33203125" bestFit="1" customWidth="1"/>
    <col min="6" max="6" width="27" bestFit="1" customWidth="1"/>
  </cols>
  <sheetData>
    <row r="1" spans="1:6">
      <c r="A1" s="1" t="s">
        <v>354</v>
      </c>
      <c r="B1" s="1" t="s">
        <v>2406</v>
      </c>
      <c r="E1" s="1" t="s">
        <v>354</v>
      </c>
      <c r="F1" s="1" t="s">
        <v>2407</v>
      </c>
    </row>
    <row r="2" spans="1:6">
      <c r="A2" s="2" t="s">
        <v>340</v>
      </c>
      <c r="B2" s="2">
        <v>255.4598</v>
      </c>
      <c r="E2" s="2" t="s">
        <v>345</v>
      </c>
      <c r="F2" s="7">
        <f>IF(VLOOKUP(E2,A:B,2,0),ROUNDDOWN(VLOOKUP(E2,A:B,2,0),-1),"No Data")</f>
        <v>190</v>
      </c>
    </row>
    <row r="3" spans="1:6">
      <c r="A3" s="2" t="s">
        <v>341</v>
      </c>
      <c r="B3" s="2">
        <v>189.23920000000001</v>
      </c>
    </row>
    <row r="4" spans="1:6">
      <c r="A4" s="2" t="s">
        <v>345</v>
      </c>
      <c r="B4" s="2">
        <v>195.42009999999999</v>
      </c>
    </row>
    <row r="5" spans="1:6">
      <c r="A5" s="2" t="s">
        <v>343</v>
      </c>
      <c r="B5" s="2">
        <v>0</v>
      </c>
    </row>
    <row r="6" spans="1:6">
      <c r="A6" s="2" t="s">
        <v>346</v>
      </c>
      <c r="B6" s="2">
        <v>154.12559999999999</v>
      </c>
    </row>
  </sheetData>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7F10-70C3-418D-A7FA-FA14E9AD7777}">
  <sheetPr codeName="Sheet254"/>
  <dimension ref="A1:C6"/>
  <sheetViews>
    <sheetView workbookViewId="0"/>
  </sheetViews>
  <sheetFormatPr defaultRowHeight="14.4"/>
  <cols>
    <col min="1" max="1" width="10.44140625" customWidth="1"/>
    <col min="2" max="2" width="9.5546875" bestFit="1" customWidth="1"/>
    <col min="3" max="3" width="20.88671875" bestFit="1" customWidth="1"/>
  </cols>
  <sheetData>
    <row r="1" spans="1:3">
      <c r="A1" s="1" t="s">
        <v>153</v>
      </c>
      <c r="B1" s="1" t="s">
        <v>2408</v>
      </c>
      <c r="C1" s="1" t="s">
        <v>2409</v>
      </c>
    </row>
    <row r="2" spans="1:3">
      <c r="A2" s="2">
        <v>999.99900000000002</v>
      </c>
      <c r="B2" s="2">
        <v>-2</v>
      </c>
      <c r="C2" s="7">
        <v>900</v>
      </c>
    </row>
    <row r="3" spans="1:3">
      <c r="A3" s="2">
        <v>999.99900000000002</v>
      </c>
      <c r="B3" s="2">
        <v>-1</v>
      </c>
      <c r="C3" s="7">
        <v>990</v>
      </c>
    </row>
    <row r="4" spans="1:3">
      <c r="A4" s="2">
        <v>999.99900000000002</v>
      </c>
      <c r="B4" s="2">
        <v>0</v>
      </c>
      <c r="C4" s="7">
        <v>999</v>
      </c>
    </row>
    <row r="5" spans="1:3">
      <c r="A5" s="2">
        <v>999.99900000000002</v>
      </c>
      <c r="B5" s="2">
        <v>1</v>
      </c>
      <c r="C5" s="7">
        <v>999.9</v>
      </c>
    </row>
    <row r="6" spans="1:3">
      <c r="A6" s="2">
        <v>-999.99900000000002</v>
      </c>
      <c r="B6" s="2">
        <v>2</v>
      </c>
      <c r="C6" s="7">
        <v>-999.99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216-E704-4A9F-B7D2-2384737E87F7}">
  <sheetPr codeName="Sheet255"/>
  <dimension ref="A1:C10"/>
  <sheetViews>
    <sheetView workbookViewId="0">
      <selection activeCell="B2" sqref="B2"/>
    </sheetView>
  </sheetViews>
  <sheetFormatPr defaultRowHeight="14.4"/>
  <cols>
    <col min="1" max="1" width="27.109375" bestFit="1" customWidth="1"/>
    <col min="2" max="2" width="17.88671875" bestFit="1" customWidth="1"/>
    <col min="3" max="3" width="27.109375" bestFit="1" customWidth="1"/>
  </cols>
  <sheetData>
    <row r="1" spans="1:3">
      <c r="A1" s="1" t="s">
        <v>2421</v>
      </c>
      <c r="B1" s="1" t="s">
        <v>2410</v>
      </c>
      <c r="C1" s="1" t="s">
        <v>1145</v>
      </c>
    </row>
    <row r="2" spans="1:3">
      <c r="A2" s="2" t="s">
        <v>1535</v>
      </c>
      <c r="B2" s="7" t="b">
        <f>ISNA(A2)</f>
        <v>0</v>
      </c>
      <c r="C2" s="2" t="s">
        <v>2412</v>
      </c>
    </row>
    <row r="3" spans="1:3">
      <c r="A3" s="2" t="s">
        <v>2411</v>
      </c>
      <c r="B3" s="7" t="b">
        <f t="shared" ref="B3:B10" si="0">ISNA(A3)</f>
        <v>0</v>
      </c>
      <c r="C3" s="2" t="s">
        <v>2413</v>
      </c>
    </row>
    <row r="4" spans="1:3">
      <c r="A4" s="2" t="e">
        <v>#N/A</v>
      </c>
      <c r="B4" s="7" t="b">
        <f t="shared" si="0"/>
        <v>1</v>
      </c>
      <c r="C4" s="2" t="s">
        <v>2414</v>
      </c>
    </row>
    <row r="5" spans="1:3">
      <c r="A5" s="2" t="e">
        <v>#DIV/0!</v>
      </c>
      <c r="B5" s="7" t="b">
        <f t="shared" si="0"/>
        <v>0</v>
      </c>
      <c r="C5" s="2" t="s">
        <v>2415</v>
      </c>
    </row>
    <row r="6" spans="1:3">
      <c r="A6" s="2" t="e">
        <v>#REF!</v>
      </c>
      <c r="B6" s="7" t="b">
        <f t="shared" si="0"/>
        <v>0</v>
      </c>
      <c r="C6" s="2" t="s">
        <v>2416</v>
      </c>
    </row>
    <row r="7" spans="1:3">
      <c r="A7" s="83">
        <v>50000</v>
      </c>
      <c r="B7" s="7" t="b">
        <f t="shared" si="0"/>
        <v>0</v>
      </c>
      <c r="C7" s="2" t="s">
        <v>2417</v>
      </c>
    </row>
    <row r="8" spans="1:3">
      <c r="A8" s="20">
        <v>44562</v>
      </c>
      <c r="B8" s="7" t="b">
        <f t="shared" si="0"/>
        <v>0</v>
      </c>
      <c r="C8" s="2" t="s">
        <v>2418</v>
      </c>
    </row>
    <row r="9" spans="1:3">
      <c r="A9" s="2" t="e">
        <v>#NAME?</v>
      </c>
      <c r="B9" s="7" t="b">
        <f t="shared" si="0"/>
        <v>0</v>
      </c>
      <c r="C9" s="2" t="s">
        <v>2419</v>
      </c>
    </row>
    <row r="10" spans="1:3">
      <c r="A10" s="2" t="e">
        <v>#NUM!</v>
      </c>
      <c r="B10" s="7" t="b">
        <f t="shared" si="0"/>
        <v>0</v>
      </c>
      <c r="C10" s="2" t="s">
        <v>2420</v>
      </c>
    </row>
  </sheetData>
  <pageMargins left="0.7" right="0.7" top="0.75" bottom="0.75" header="0.3" footer="0.3"/>
  <pageSetup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8883-E9DF-4C89-B830-75D01B46AA31}">
  <sheetPr codeName="Sheet256"/>
  <dimension ref="A1:B10"/>
  <sheetViews>
    <sheetView workbookViewId="0">
      <selection activeCell="B2" sqref="B2"/>
    </sheetView>
  </sheetViews>
  <sheetFormatPr defaultRowHeight="14.4"/>
  <cols>
    <col min="1" max="1" width="15.109375" customWidth="1"/>
    <col min="2" max="2" width="26.44140625" bestFit="1" customWidth="1"/>
  </cols>
  <sheetData>
    <row r="1" spans="1:2">
      <c r="A1" s="1" t="s">
        <v>2422</v>
      </c>
      <c r="B1" s="1" t="s">
        <v>2423</v>
      </c>
    </row>
    <row r="2" spans="1:2">
      <c r="A2" s="2" t="e">
        <v>#DIV/0!</v>
      </c>
      <c r="B2" s="7" t="e">
        <f>IF(ISNA(A2),"The value is #N/A error",A2)</f>
        <v>#DIV/0!</v>
      </c>
    </row>
    <row r="3" spans="1:2">
      <c r="A3" s="2" t="e">
        <v>#NUM!</v>
      </c>
      <c r="B3" s="7" t="e">
        <f t="shared" ref="B3:B10" si="0">IF(ISNA(A3),"The value is #N/A error",A3)</f>
        <v>#NUM!</v>
      </c>
    </row>
    <row r="4" spans="1:2">
      <c r="A4" s="82">
        <v>0.55000000000000004</v>
      </c>
      <c r="B4" s="62">
        <f t="shared" si="0"/>
        <v>0.55000000000000004</v>
      </c>
    </row>
    <row r="5" spans="1:2">
      <c r="A5" s="139">
        <v>1003</v>
      </c>
      <c r="B5" s="142">
        <f t="shared" si="0"/>
        <v>1003</v>
      </c>
    </row>
    <row r="6" spans="1:2">
      <c r="A6" s="2" t="e">
        <v>#N/A</v>
      </c>
      <c r="B6" s="7" t="str">
        <f t="shared" si="0"/>
        <v>The value is #N/A error</v>
      </c>
    </row>
    <row r="7" spans="1:2">
      <c r="A7" s="2">
        <v>60000</v>
      </c>
      <c r="B7" s="7">
        <f t="shared" si="0"/>
        <v>60000</v>
      </c>
    </row>
    <row r="8" spans="1:2">
      <c r="A8" s="2" t="s">
        <v>2169</v>
      </c>
      <c r="B8" s="7" t="str">
        <f t="shared" si="0"/>
        <v>MS Excel</v>
      </c>
    </row>
    <row r="9" spans="1:2">
      <c r="A9" s="2" t="e">
        <v>#N/A</v>
      </c>
      <c r="B9" s="7" t="str">
        <f t="shared" si="0"/>
        <v>The value is #N/A error</v>
      </c>
    </row>
    <row r="10" spans="1:2">
      <c r="A10" s="140">
        <v>44745.208333333336</v>
      </c>
      <c r="B10" s="141">
        <f t="shared" si="0"/>
        <v>44745.208333333336</v>
      </c>
    </row>
  </sheetData>
  <pageMargins left="0.7" right="0.7" top="0.75" bottom="0.75" header="0.3" footer="0.3"/>
  <ignoredErrors>
    <ignoredError sqref="B2:B3" evalError="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4F15-C0B6-4CBC-BE09-E6011B1C4037}">
  <sheetPr codeName="Sheet257"/>
  <dimension ref="A1:C6"/>
  <sheetViews>
    <sheetView workbookViewId="0">
      <selection activeCell="B2" sqref="B2"/>
    </sheetView>
  </sheetViews>
  <sheetFormatPr defaultRowHeight="14.4"/>
  <cols>
    <col min="1" max="1" width="28.109375" bestFit="1" customWidth="1"/>
    <col min="2" max="2" width="13.109375" bestFit="1" customWidth="1"/>
    <col min="3" max="3" width="9" customWidth="1"/>
  </cols>
  <sheetData>
    <row r="1" spans="1:3">
      <c r="A1" s="1" t="s">
        <v>1633</v>
      </c>
      <c r="B1" s="1" t="s">
        <v>2424</v>
      </c>
      <c r="C1" s="1" t="s">
        <v>1384</v>
      </c>
    </row>
    <row r="2" spans="1:3">
      <c r="A2" s="2" t="s">
        <v>2425</v>
      </c>
      <c r="B2" s="2" t="s">
        <v>2460</v>
      </c>
      <c r="C2" s="7" t="b">
        <f>ISNA(FIND(B2,A2))</f>
        <v>0</v>
      </c>
    </row>
    <row r="3" spans="1:3">
      <c r="A3" s="2" t="s">
        <v>2426</v>
      </c>
      <c r="B3" s="14" t="s">
        <v>2430</v>
      </c>
      <c r="C3" s="7" t="b">
        <f>ISNA(FIND(B3,A3))</f>
        <v>0</v>
      </c>
    </row>
    <row r="4" spans="1:3">
      <c r="A4" s="2" t="s">
        <v>2427</v>
      </c>
      <c r="B4" s="2" t="s">
        <v>625</v>
      </c>
      <c r="C4" s="7" t="b">
        <f>ISNA(FIND(B4,A4))</f>
        <v>0</v>
      </c>
    </row>
    <row r="5" spans="1:3">
      <c r="A5" s="2" t="s">
        <v>2428</v>
      </c>
      <c r="B5" s="2" t="s">
        <v>2429</v>
      </c>
      <c r="C5" s="7" t="b">
        <f>ISNA(FIND(B5,A5))</f>
        <v>0</v>
      </c>
    </row>
    <row r="6" spans="1:3">
      <c r="A6" s="2" t="e">
        <v>#N/A</v>
      </c>
      <c r="B6" s="2" t="s">
        <v>758</v>
      </c>
      <c r="C6" s="7" t="b">
        <f>ISNA(FIND(B6,A6))</f>
        <v>1</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8605-EBE1-48C1-9593-88DAD97836B0}">
  <sheetPr codeName="Sheet258"/>
  <dimension ref="A1:D11"/>
  <sheetViews>
    <sheetView workbookViewId="0">
      <selection activeCell="B2" sqref="B2"/>
    </sheetView>
  </sheetViews>
  <sheetFormatPr defaultRowHeight="14.4"/>
  <cols>
    <col min="1" max="1" width="30.88671875" bestFit="1" customWidth="1"/>
    <col min="3" max="3" width="16.33203125" bestFit="1" customWidth="1"/>
    <col min="4" max="4" width="66.109375" bestFit="1" customWidth="1"/>
  </cols>
  <sheetData>
    <row r="1" spans="1:4">
      <c r="A1" s="1" t="s">
        <v>2451</v>
      </c>
      <c r="C1" s="1" t="s">
        <v>156</v>
      </c>
      <c r="D1" s="1" t="s">
        <v>2450</v>
      </c>
    </row>
    <row r="2" spans="1:4">
      <c r="A2" s="2" t="s">
        <v>2437</v>
      </c>
      <c r="C2" s="2" t="s">
        <v>2435</v>
      </c>
      <c r="D2" s="7" t="str">
        <f>IF(ISNA(MATCH(C2,$A$2:$A$11,0)),"Employee Does Not Have A Car Parking Slot","Employee Has A Car Parking Slot")</f>
        <v>Employee Does Not Have A Car Parking Slot</v>
      </c>
    </row>
    <row r="3" spans="1:4">
      <c r="A3" s="2" t="s">
        <v>2445</v>
      </c>
      <c r="C3" s="2" t="s">
        <v>2436</v>
      </c>
      <c r="D3" s="7" t="str">
        <f t="shared" ref="D3:D11" si="0">IF(ISNA(MATCH(C3,$A$2:$A$11,0)),"Employee Does Not Have A Car Parking Slot","Employee Has A Car Parking Slot")</f>
        <v>Employee Does Not Have A Car Parking Slot</v>
      </c>
    </row>
    <row r="4" spans="1:4">
      <c r="A4" s="2" t="s">
        <v>2446</v>
      </c>
      <c r="C4" s="2" t="s">
        <v>2437</v>
      </c>
      <c r="D4" s="7" t="str">
        <f t="shared" si="0"/>
        <v>Employee Has A Car Parking Slot</v>
      </c>
    </row>
    <row r="5" spans="1:4">
      <c r="A5" s="2" t="s">
        <v>2438</v>
      </c>
      <c r="C5" s="2" t="s">
        <v>2438</v>
      </c>
      <c r="D5" s="7" t="str">
        <f t="shared" si="0"/>
        <v>Employee Has A Car Parking Slot</v>
      </c>
    </row>
    <row r="6" spans="1:4">
      <c r="A6" s="2" t="s">
        <v>2449</v>
      </c>
      <c r="C6" s="2" t="s">
        <v>2439</v>
      </c>
      <c r="D6" s="7" t="str">
        <f t="shared" si="0"/>
        <v>Employee Has A Car Parking Slot</v>
      </c>
    </row>
    <row r="7" spans="1:4">
      <c r="A7" s="2" t="s">
        <v>2439</v>
      </c>
      <c r="C7" s="2" t="s">
        <v>2440</v>
      </c>
      <c r="D7" s="7" t="str">
        <f t="shared" si="0"/>
        <v>Employee Does Not Have A Car Parking Slot</v>
      </c>
    </row>
    <row r="8" spans="1:4">
      <c r="A8" s="2" t="s">
        <v>2448</v>
      </c>
      <c r="C8" s="2" t="s">
        <v>2441</v>
      </c>
      <c r="D8" s="7" t="str">
        <f t="shared" si="0"/>
        <v>Employee Does Not Have A Car Parking Slot</v>
      </c>
    </row>
    <row r="9" spans="1:4">
      <c r="A9" s="2" t="s">
        <v>2447</v>
      </c>
      <c r="C9" s="2" t="s">
        <v>2442</v>
      </c>
      <c r="D9" s="7" t="str">
        <f t="shared" si="0"/>
        <v>Employee Has A Car Parking Slot</v>
      </c>
    </row>
    <row r="10" spans="1:4">
      <c r="A10" s="2" t="s">
        <v>2442</v>
      </c>
      <c r="C10" s="2" t="s">
        <v>2443</v>
      </c>
      <c r="D10" s="7" t="str">
        <f t="shared" si="0"/>
        <v>Employee Has A Car Parking Slot</v>
      </c>
    </row>
    <row r="11" spans="1:4">
      <c r="A11" s="2" t="s">
        <v>2443</v>
      </c>
      <c r="C11" s="2" t="s">
        <v>2444</v>
      </c>
      <c r="D11" s="7" t="str">
        <f t="shared" si="0"/>
        <v>Employee Does Not Have A Car Parking Slot</v>
      </c>
    </row>
  </sheetData>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58D07-FD44-4AB9-90BC-F9115128AD8C}">
  <sheetPr codeName="Sheet259"/>
  <dimension ref="A1:D13"/>
  <sheetViews>
    <sheetView workbookViewId="0">
      <selection activeCell="B2" sqref="B2"/>
    </sheetView>
  </sheetViews>
  <sheetFormatPr defaultRowHeight="14.4"/>
  <cols>
    <col min="1" max="1" width="33.109375" bestFit="1" customWidth="1"/>
    <col min="3" max="3" width="13.5546875" bestFit="1" customWidth="1"/>
    <col min="4" max="4" width="24.88671875" bestFit="1" customWidth="1"/>
  </cols>
  <sheetData>
    <row r="1" spans="1:4">
      <c r="A1" s="1" t="s">
        <v>2432</v>
      </c>
      <c r="C1" s="1" t="s">
        <v>2433</v>
      </c>
      <c r="D1" s="1" t="s">
        <v>2431</v>
      </c>
    </row>
    <row r="2" spans="1:4">
      <c r="A2" s="2" t="s">
        <v>545</v>
      </c>
      <c r="C2" s="2" t="s">
        <v>544</v>
      </c>
      <c r="D2" s="2">
        <v>25</v>
      </c>
    </row>
    <row r="3" spans="1:4">
      <c r="A3" s="2" t="s">
        <v>547</v>
      </c>
      <c r="C3" s="2" t="s">
        <v>546</v>
      </c>
      <c r="D3" s="2">
        <v>5</v>
      </c>
    </row>
    <row r="4" spans="1:4">
      <c r="A4" s="2" t="s">
        <v>546</v>
      </c>
      <c r="C4" s="2" t="s">
        <v>545</v>
      </c>
      <c r="D4" s="2">
        <v>5</v>
      </c>
    </row>
    <row r="5" spans="1:4">
      <c r="A5" s="2" t="s">
        <v>865</v>
      </c>
      <c r="C5" s="2" t="s">
        <v>549</v>
      </c>
      <c r="D5" s="2">
        <v>12</v>
      </c>
    </row>
    <row r="6" spans="1:4">
      <c r="A6" s="2" t="s">
        <v>544</v>
      </c>
      <c r="C6" s="2" t="s">
        <v>2043</v>
      </c>
      <c r="D6" s="2">
        <v>11</v>
      </c>
    </row>
    <row r="7" spans="1:4">
      <c r="A7" s="2" t="s">
        <v>1825</v>
      </c>
    </row>
    <row r="8" spans="1:4">
      <c r="A8" s="2" t="s">
        <v>1824</v>
      </c>
    </row>
    <row r="9" spans="1:4">
      <c r="A9" s="2" t="s">
        <v>549</v>
      </c>
    </row>
    <row r="10" spans="1:4">
      <c r="A10" s="2" t="s">
        <v>2043</v>
      </c>
    </row>
    <row r="11" spans="1:4">
      <c r="A11" s="2" t="s">
        <v>551</v>
      </c>
    </row>
    <row r="13" spans="1:4">
      <c r="A13" s="1" t="s">
        <v>2434</v>
      </c>
      <c r="B13" s="7">
        <f>SUMPRODUCT(--ISNA(MATCH(A2:A11,C2:C6, 0)))</f>
        <v>5</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6D1A-FC65-4865-8D22-9214E1AB104B}">
  <sheetPr codeName="Sheet260"/>
  <dimension ref="A1:F5"/>
  <sheetViews>
    <sheetView workbookViewId="0"/>
  </sheetViews>
  <sheetFormatPr defaultRowHeight="14.4"/>
  <cols>
    <col min="1" max="1" width="27.109375" bestFit="1" customWidth="1"/>
    <col min="5" max="5" width="21.44140625" bestFit="1" customWidth="1"/>
    <col min="6" max="6" width="16.44140625" bestFit="1" customWidth="1"/>
  </cols>
  <sheetData>
    <row r="1" spans="1:6">
      <c r="A1" s="1" t="s">
        <v>2453</v>
      </c>
      <c r="B1" s="1" t="s">
        <v>2452</v>
      </c>
      <c r="E1" s="1" t="s">
        <v>2458</v>
      </c>
      <c r="F1" s="1" t="s">
        <v>2452</v>
      </c>
    </row>
    <row r="2" spans="1:6">
      <c r="A2" s="2" t="s">
        <v>2454</v>
      </c>
      <c r="B2" s="2">
        <v>7</v>
      </c>
      <c r="E2" s="2" t="s">
        <v>2456</v>
      </c>
      <c r="F2" s="7">
        <f>IF(ISNA(VLOOKUP(E2,$A$1:$B$5,2,0)),"Data Not Available",VLOOKUP(E2,$A$1:$B$5,2,0))</f>
        <v>15</v>
      </c>
    </row>
    <row r="3" spans="1:6">
      <c r="A3" s="2" t="s">
        <v>2455</v>
      </c>
      <c r="B3" s="2">
        <v>1.5</v>
      </c>
      <c r="E3" s="2" t="s">
        <v>2459</v>
      </c>
      <c r="F3" s="7" t="str">
        <f>IF(ISNA(VLOOKUP(E3,$A$1:$B$5,2,0)),"Data Not Available",VLOOKUP(E3,$A$1:$B$5,2,0))</f>
        <v>Data Not Available</v>
      </c>
    </row>
    <row r="4" spans="1:6">
      <c r="A4" s="2" t="s">
        <v>2456</v>
      </c>
      <c r="B4" s="2">
        <v>15</v>
      </c>
    </row>
    <row r="5" spans="1:6">
      <c r="A5" s="2" t="s">
        <v>2457</v>
      </c>
      <c r="B5" s="2">
        <v>11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8049-C300-44D2-B51F-6C45CE499964}">
  <sheetPr codeName="Sheet261"/>
  <dimension ref="A1:L12"/>
  <sheetViews>
    <sheetView workbookViewId="0">
      <selection activeCell="B12" sqref="B12"/>
    </sheetView>
  </sheetViews>
  <sheetFormatPr defaultRowHeight="14.4"/>
  <cols>
    <col min="1" max="1" width="20.88671875" bestFit="1" customWidth="1"/>
    <col min="2" max="2" width="12.6640625" bestFit="1" customWidth="1"/>
    <col min="5" max="5" width="10.109375" bestFit="1" customWidth="1"/>
    <col min="11" max="11" width="11.109375" bestFit="1" customWidth="1"/>
    <col min="12" max="12" width="10.109375" bestFit="1" customWidth="1"/>
  </cols>
  <sheetData>
    <row r="1" spans="1:12">
      <c r="A1" s="1" t="s">
        <v>2488</v>
      </c>
      <c r="B1" s="1" t="s">
        <v>2489</v>
      </c>
    </row>
    <row r="2" spans="1:12">
      <c r="A2" s="2" t="s">
        <v>2461</v>
      </c>
      <c r="B2" s="53">
        <v>-1000</v>
      </c>
    </row>
    <row r="3" spans="1:12">
      <c r="A3" s="2">
        <v>1</v>
      </c>
      <c r="B3" s="53">
        <v>200</v>
      </c>
      <c r="F3" s="143"/>
      <c r="K3" s="85"/>
    </row>
    <row r="4" spans="1:12">
      <c r="A4" s="2">
        <v>2</v>
      </c>
      <c r="B4" s="53">
        <v>250</v>
      </c>
      <c r="E4" s="85"/>
      <c r="G4" s="85"/>
      <c r="I4" s="144"/>
      <c r="K4" s="85"/>
    </row>
    <row r="5" spans="1:12">
      <c r="A5" s="2">
        <v>3</v>
      </c>
      <c r="B5" s="53">
        <v>300</v>
      </c>
      <c r="E5" s="85"/>
      <c r="F5" s="143"/>
      <c r="K5" s="85"/>
    </row>
    <row r="6" spans="1:12">
      <c r="A6" s="2">
        <v>4</v>
      </c>
      <c r="B6" s="53">
        <v>350</v>
      </c>
      <c r="K6" s="85"/>
    </row>
    <row r="7" spans="1:12">
      <c r="A7" s="2">
        <v>5</v>
      </c>
      <c r="B7" s="53">
        <v>400</v>
      </c>
      <c r="K7" s="85"/>
    </row>
    <row r="8" spans="1:12">
      <c r="K8" s="85"/>
      <c r="L8" s="85"/>
    </row>
    <row r="9" spans="1:12">
      <c r="A9" s="1" t="s">
        <v>2465</v>
      </c>
      <c r="B9" s="82">
        <v>0.1</v>
      </c>
    </row>
    <row r="10" spans="1:12">
      <c r="A10" s="1" t="s">
        <v>2466</v>
      </c>
      <c r="B10" s="82">
        <v>0.08</v>
      </c>
    </row>
    <row r="12" spans="1:12">
      <c r="A12" s="1" t="s">
        <v>2462</v>
      </c>
      <c r="B12" s="88">
        <f>MIRR(B2:B7,B9,B10)</f>
        <v>0.11390993995551768</v>
      </c>
      <c r="C12" s="144"/>
    </row>
  </sheetData>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79E7-A536-4E54-9D23-C8534EDDB9E1}">
  <sheetPr codeName="Sheet262"/>
  <dimension ref="A1:E7"/>
  <sheetViews>
    <sheetView workbookViewId="0">
      <selection activeCell="B12" sqref="B12"/>
    </sheetView>
  </sheetViews>
  <sheetFormatPr defaultRowHeight="14.4"/>
  <cols>
    <col min="1" max="1" width="36" bestFit="1" customWidth="1"/>
    <col min="2" max="2" width="12" customWidth="1"/>
    <col min="4" max="4" width="20.88671875" bestFit="1" customWidth="1"/>
    <col min="5" max="5" width="12.88671875" customWidth="1"/>
  </cols>
  <sheetData>
    <row r="1" spans="1:5">
      <c r="A1" s="1" t="s">
        <v>2463</v>
      </c>
      <c r="B1" s="1" t="s">
        <v>2464</v>
      </c>
      <c r="D1" s="1" t="s">
        <v>2465</v>
      </c>
      <c r="E1" s="82">
        <v>0.12</v>
      </c>
    </row>
    <row r="2" spans="1:5">
      <c r="A2" s="2" t="s">
        <v>2467</v>
      </c>
      <c r="B2" s="53">
        <v>-100000</v>
      </c>
      <c r="D2" s="1" t="s">
        <v>2466</v>
      </c>
      <c r="E2" s="82">
        <v>0.1</v>
      </c>
    </row>
    <row r="3" spans="1:5">
      <c r="A3" s="2" t="s">
        <v>2468</v>
      </c>
      <c r="B3" s="53">
        <v>5000</v>
      </c>
    </row>
    <row r="4" spans="1:5">
      <c r="A4" s="2" t="s">
        <v>2469</v>
      </c>
      <c r="B4" s="53">
        <v>15000</v>
      </c>
    </row>
    <row r="5" spans="1:5">
      <c r="A5" s="2" t="s">
        <v>2470</v>
      </c>
      <c r="B5" s="53">
        <v>18000</v>
      </c>
    </row>
    <row r="6" spans="1:5">
      <c r="A6" s="2" t="s">
        <v>2471</v>
      </c>
      <c r="B6" s="53">
        <v>20000</v>
      </c>
      <c r="D6" s="1" t="s">
        <v>2473</v>
      </c>
      <c r="E6" s="88">
        <f>MIRR(B2:B7,E1,E2)</f>
        <v>-1.2161214948424037E-2</v>
      </c>
    </row>
    <row r="7" spans="1:5">
      <c r="A7" s="2" t="s">
        <v>2472</v>
      </c>
      <c r="B7" s="53">
        <v>23000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1838-2998-4B80-9E10-11C78D287B9D}">
  <sheetPr codeName="Sheet263"/>
  <dimension ref="A1:B13"/>
  <sheetViews>
    <sheetView workbookViewId="0">
      <selection activeCell="B12" sqref="B12"/>
    </sheetView>
  </sheetViews>
  <sheetFormatPr defaultRowHeight="14.4"/>
  <cols>
    <col min="1" max="1" width="34.5546875" bestFit="1" customWidth="1"/>
    <col min="2" max="2" width="12.6640625" bestFit="1" customWidth="1"/>
  </cols>
  <sheetData>
    <row r="1" spans="1:2">
      <c r="A1" s="1" t="s">
        <v>2488</v>
      </c>
      <c r="B1" s="1" t="s">
        <v>2489</v>
      </c>
    </row>
    <row r="2" spans="1:2">
      <c r="A2" s="2" t="s">
        <v>2461</v>
      </c>
      <c r="B2" s="53">
        <v>-21000</v>
      </c>
    </row>
    <row r="3" spans="1:2">
      <c r="A3" s="2">
        <v>1</v>
      </c>
      <c r="B3" s="53">
        <v>5000</v>
      </c>
    </row>
    <row r="4" spans="1:2">
      <c r="A4" s="2">
        <v>2</v>
      </c>
      <c r="B4" s="53">
        <v>6000</v>
      </c>
    </row>
    <row r="5" spans="1:2">
      <c r="A5" s="2">
        <v>3</v>
      </c>
      <c r="B5" s="53">
        <v>7000</v>
      </c>
    </row>
    <row r="6" spans="1:2">
      <c r="A6" s="2">
        <v>4</v>
      </c>
      <c r="B6" s="53">
        <v>8000</v>
      </c>
    </row>
    <row r="8" spans="1:2">
      <c r="A8" s="1" t="s">
        <v>2465</v>
      </c>
      <c r="B8" s="82">
        <v>7.0000000000000007E-2</v>
      </c>
    </row>
    <row r="9" spans="1:2">
      <c r="A9" s="1" t="s">
        <v>2466</v>
      </c>
      <c r="B9" s="82">
        <v>0.06</v>
      </c>
    </row>
    <row r="12" spans="1:2">
      <c r="A12" s="9" t="s">
        <v>2475</v>
      </c>
      <c r="B12" s="62">
        <f>(((-NPV(B9,B3:B6)*(1+B9)^4)/(NPV(B8,B2)*(1+B8)))^(1/4))-1</f>
        <v>7.5687658293522198E-2</v>
      </c>
    </row>
    <row r="13" spans="1:2">
      <c r="A13" s="1" t="s">
        <v>2474</v>
      </c>
      <c r="B13" s="62">
        <f>MIRR(B2:B6,B8,B9)</f>
        <v>7.5687658293522198E-2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D54F-2BC1-46F6-AFEE-1312EA05112E}">
  <sheetPr codeName="Sheet264"/>
  <dimension ref="A1:F10"/>
  <sheetViews>
    <sheetView workbookViewId="0">
      <selection activeCell="B12" sqref="B12"/>
    </sheetView>
  </sheetViews>
  <sheetFormatPr defaultRowHeight="14.4"/>
  <cols>
    <col min="1" max="1" width="15.44140625" bestFit="1" customWidth="1"/>
    <col min="2" max="2" width="22.5546875" bestFit="1" customWidth="1"/>
    <col min="3" max="3" width="22.44140625" bestFit="1" customWidth="1"/>
    <col min="5" max="5" width="20.88671875" bestFit="1" customWidth="1"/>
    <col min="6" max="6" width="8.6640625" customWidth="1"/>
  </cols>
  <sheetData>
    <row r="1" spans="1:6">
      <c r="A1" s="1" t="s">
        <v>2488</v>
      </c>
      <c r="B1" s="1" t="s">
        <v>2476</v>
      </c>
      <c r="C1" s="1" t="s">
        <v>2477</v>
      </c>
      <c r="E1" s="1" t="s">
        <v>2465</v>
      </c>
      <c r="F1" s="82">
        <v>0.1</v>
      </c>
    </row>
    <row r="2" spans="1:6">
      <c r="A2" s="2" t="s">
        <v>2461</v>
      </c>
      <c r="B2" s="83">
        <v>-2000000</v>
      </c>
      <c r="C2" s="83">
        <v>-2000000</v>
      </c>
      <c r="E2" s="1" t="s">
        <v>2466</v>
      </c>
      <c r="F2" s="82">
        <v>0.09</v>
      </c>
    </row>
    <row r="3" spans="1:6">
      <c r="A3" s="2" t="s">
        <v>2478</v>
      </c>
      <c r="B3" s="83">
        <v>210000</v>
      </c>
      <c r="C3" s="83">
        <v>320000</v>
      </c>
    </row>
    <row r="4" spans="1:6">
      <c r="A4" s="2" t="s">
        <v>2479</v>
      </c>
      <c r="B4" s="83">
        <v>280000</v>
      </c>
      <c r="C4" s="83">
        <v>400000</v>
      </c>
    </row>
    <row r="5" spans="1:6">
      <c r="A5" s="2" t="s">
        <v>2480</v>
      </c>
      <c r="B5" s="83">
        <v>320000</v>
      </c>
      <c r="C5" s="83">
        <v>530000</v>
      </c>
    </row>
    <row r="6" spans="1:6">
      <c r="A6" s="2" t="s">
        <v>2481</v>
      </c>
      <c r="B6" s="83">
        <v>420000</v>
      </c>
      <c r="C6" s="83">
        <v>610000</v>
      </c>
    </row>
    <row r="7" spans="1:6">
      <c r="A7" s="2" t="s">
        <v>2482</v>
      </c>
      <c r="B7" s="83">
        <v>510000</v>
      </c>
      <c r="C7" s="83">
        <v>740000</v>
      </c>
    </row>
    <row r="8" spans="1:6">
      <c r="A8" s="2" t="s">
        <v>2483</v>
      </c>
      <c r="B8" s="83">
        <v>600000</v>
      </c>
      <c r="C8" s="83">
        <v>790000</v>
      </c>
    </row>
    <row r="10" spans="1:6">
      <c r="A10" s="1" t="s">
        <v>2462</v>
      </c>
      <c r="B10" s="88">
        <f>MIRR(B2:B8,F1,F2)</f>
        <v>5.6902930254562722E-2</v>
      </c>
      <c r="C10" s="88">
        <f>MIRR(C2:C8,F1,F2)</f>
        <v>0.12546776350367583</v>
      </c>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E20A-B25B-49FE-B789-C8DE43A660C5}">
  <sheetPr codeName="Sheet265"/>
  <dimension ref="A1:B14"/>
  <sheetViews>
    <sheetView workbookViewId="0">
      <selection activeCell="B12" sqref="B12"/>
    </sheetView>
  </sheetViews>
  <sheetFormatPr defaultRowHeight="14.4"/>
  <cols>
    <col min="1" max="1" width="34.5546875" bestFit="1" customWidth="1"/>
    <col min="2" max="2" width="12.6640625" bestFit="1" customWidth="1"/>
  </cols>
  <sheetData>
    <row r="1" spans="1:2">
      <c r="A1" s="1" t="s">
        <v>2488</v>
      </c>
      <c r="B1" s="1" t="s">
        <v>2489</v>
      </c>
    </row>
    <row r="2" spans="1:2">
      <c r="A2" s="2" t="s">
        <v>2461</v>
      </c>
      <c r="B2" s="53">
        <v>-50000</v>
      </c>
    </row>
    <row r="3" spans="1:2">
      <c r="A3" s="2">
        <v>1</v>
      </c>
      <c r="B3" s="53">
        <v>25000</v>
      </c>
    </row>
    <row r="4" spans="1:2">
      <c r="A4" s="2">
        <v>2</v>
      </c>
      <c r="B4" s="53">
        <v>30000</v>
      </c>
    </row>
    <row r="5" spans="1:2">
      <c r="A5" s="2">
        <v>3</v>
      </c>
      <c r="B5" s="53">
        <v>35000</v>
      </c>
    </row>
    <row r="6" spans="1:2">
      <c r="A6" s="2">
        <v>4</v>
      </c>
      <c r="B6" s="53">
        <v>40000</v>
      </c>
    </row>
    <row r="8" spans="1:2">
      <c r="A8" s="1" t="s">
        <v>2465</v>
      </c>
      <c r="B8" s="82">
        <v>0.08</v>
      </c>
    </row>
    <row r="9" spans="1:2">
      <c r="A9" s="1" t="s">
        <v>2466</v>
      </c>
      <c r="B9" s="82">
        <v>0.05</v>
      </c>
    </row>
    <row r="12" spans="1:2">
      <c r="A12" s="1" t="s">
        <v>2484</v>
      </c>
      <c r="B12" s="62">
        <f>MIRR(B2:B4,B8,B9)</f>
        <v>6.0660171779821193E-2</v>
      </c>
    </row>
    <row r="13" spans="1:2">
      <c r="A13" s="1" t="s">
        <v>2486</v>
      </c>
      <c r="B13" s="62">
        <f>MIRR(B2:B5,B8,B9)</f>
        <v>0.2344746354440983</v>
      </c>
    </row>
    <row r="14" spans="1:2">
      <c r="A14" s="1" t="s">
        <v>2485</v>
      </c>
      <c r="B14" s="62">
        <f>MIRR(B2:B6,B8,B9)</f>
        <v>0.29070791396249818</v>
      </c>
    </row>
  </sheetData>
  <pageMargins left="0.7" right="0.7" top="0.75" bottom="0.75" header="0.3" footer="0.3"/>
  <ignoredErrors>
    <ignoredError sqref="B12:B13" formulaRange="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7EC0-2F68-4A44-AB79-8A4990FF2E31}">
  <sheetPr codeName="Sheet266"/>
  <dimension ref="A1:B12"/>
  <sheetViews>
    <sheetView workbookViewId="0"/>
  </sheetViews>
  <sheetFormatPr defaultRowHeight="14.4"/>
  <cols>
    <col min="1" max="1" width="24.33203125" bestFit="1" customWidth="1"/>
    <col min="2" max="2" width="13" bestFit="1" customWidth="1"/>
  </cols>
  <sheetData>
    <row r="1" spans="1:2">
      <c r="A1" s="1" t="s">
        <v>2488</v>
      </c>
      <c r="B1" s="1" t="s">
        <v>2489</v>
      </c>
    </row>
    <row r="2" spans="1:2">
      <c r="A2" s="2" t="s">
        <v>2461</v>
      </c>
      <c r="B2" s="53">
        <v>-1000000</v>
      </c>
    </row>
    <row r="3" spans="1:2">
      <c r="A3" s="2">
        <v>1</v>
      </c>
      <c r="B3" s="53">
        <v>150000</v>
      </c>
    </row>
    <row r="4" spans="1:2">
      <c r="A4" s="2">
        <v>2</v>
      </c>
      <c r="B4" s="53">
        <v>250000</v>
      </c>
    </row>
    <row r="5" spans="1:2">
      <c r="A5" s="2">
        <v>3</v>
      </c>
      <c r="B5" s="53">
        <v>350000</v>
      </c>
    </row>
    <row r="6" spans="1:2">
      <c r="A6" s="2">
        <v>4</v>
      </c>
      <c r="B6" s="53">
        <v>450000</v>
      </c>
    </row>
    <row r="8" spans="1:2">
      <c r="A8" s="1" t="s">
        <v>2465</v>
      </c>
      <c r="B8" s="82">
        <v>0.12</v>
      </c>
    </row>
    <row r="9" spans="1:2">
      <c r="A9" s="1" t="s">
        <v>2466</v>
      </c>
      <c r="B9" s="82">
        <v>0.1</v>
      </c>
    </row>
    <row r="12" spans="1:2">
      <c r="A12" s="1" t="s">
        <v>2487</v>
      </c>
      <c r="B12" s="62">
        <v>7.533809684490067E-2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4E5A-CEE5-42E5-9064-F92A097BB1C8}">
  <sheetPr codeName="Sheet267"/>
  <dimension ref="A1:F4"/>
  <sheetViews>
    <sheetView workbookViewId="0">
      <selection activeCell="C17" sqref="C17"/>
    </sheetView>
  </sheetViews>
  <sheetFormatPr defaultRowHeight="14.4"/>
  <cols>
    <col min="1" max="1" width="8.109375" customWidth="1"/>
    <col min="2" max="2" width="5.44140625" customWidth="1"/>
    <col min="3" max="3" width="33.44140625" bestFit="1" customWidth="1"/>
    <col min="4" max="4" width="38.5546875" bestFit="1" customWidth="1"/>
    <col min="5" max="5" width="17.44140625" customWidth="1"/>
    <col min="6" max="6" width="34.88671875" customWidth="1"/>
  </cols>
  <sheetData>
    <row r="1" spans="1:6">
      <c r="A1" s="1" t="s">
        <v>153</v>
      </c>
      <c r="B1" s="1" t="s">
        <v>1504</v>
      </c>
      <c r="C1" s="1" t="s">
        <v>2499</v>
      </c>
      <c r="D1" s="1" t="s">
        <v>1138</v>
      </c>
      <c r="E1" s="1" t="s">
        <v>2490</v>
      </c>
      <c r="F1" s="1" t="s">
        <v>1520</v>
      </c>
    </row>
    <row r="2" spans="1:6">
      <c r="A2" s="2">
        <v>100</v>
      </c>
      <c r="B2" s="2" t="s">
        <v>2491</v>
      </c>
      <c r="C2" s="2" t="s">
        <v>2492</v>
      </c>
      <c r="D2" s="2" t="s">
        <v>2496</v>
      </c>
      <c r="E2" s="7">
        <f>CONVERT(A2,B2,C2)</f>
        <v>2.7777777777777776E-2</v>
      </c>
      <c r="F2" s="65" t="s">
        <v>2500</v>
      </c>
    </row>
    <row r="3" spans="1:6">
      <c r="A3" s="2">
        <v>50</v>
      </c>
      <c r="B3" s="2" t="s">
        <v>2493</v>
      </c>
      <c r="C3" s="2" t="s">
        <v>2494</v>
      </c>
      <c r="D3" s="2" t="s">
        <v>2497</v>
      </c>
      <c r="E3" s="7">
        <f>CONVERT(A3,B3,C3)</f>
        <v>72000</v>
      </c>
      <c r="F3" s="65" t="s">
        <v>2501</v>
      </c>
    </row>
    <row r="4" spans="1:6">
      <c r="A4" s="2">
        <v>34</v>
      </c>
      <c r="B4" s="2" t="s">
        <v>762</v>
      </c>
      <c r="C4" s="2" t="s">
        <v>2495</v>
      </c>
      <c r="D4" s="2" t="s">
        <v>2498</v>
      </c>
      <c r="E4" s="7">
        <f>CONVERT(A4,B4,C4)</f>
        <v>93.2</v>
      </c>
      <c r="F4" s="65" t="s">
        <v>2502</v>
      </c>
    </row>
  </sheetData>
  <pageMargins left="0.7" right="0.7" top="0.75" bottom="0.75" header="0.3" footer="0.3"/>
  <pageSetup orientation="portrait"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F684-F46E-4080-9BC8-77CAE619AAAE}">
  <sheetPr codeName="Sheet268"/>
  <dimension ref="C1:S59"/>
  <sheetViews>
    <sheetView zoomScaleNormal="100" workbookViewId="0">
      <selection activeCell="C17" sqref="C17"/>
    </sheetView>
  </sheetViews>
  <sheetFormatPr defaultRowHeight="14.4"/>
  <cols>
    <col min="3" max="3" width="23.5546875" bestFit="1" customWidth="1"/>
    <col min="4" max="4" width="27.44140625" bestFit="1" customWidth="1"/>
    <col min="6" max="6" width="25.44140625" bestFit="1" customWidth="1"/>
    <col min="7" max="7" width="27.44140625" bestFit="1" customWidth="1"/>
    <col min="9" max="9" width="26.5546875" bestFit="1" customWidth="1"/>
    <col min="10" max="10" width="36.44140625" bestFit="1" customWidth="1"/>
    <col min="12" max="12" width="5.88671875" bestFit="1" customWidth="1"/>
    <col min="13" max="13" width="9" bestFit="1" customWidth="1"/>
    <col min="14" max="14" width="11.5546875" bestFit="1" customWidth="1"/>
    <col min="16" max="16" width="11.44140625" bestFit="1" customWidth="1"/>
    <col min="17" max="17" width="35.88671875" bestFit="1" customWidth="1"/>
    <col min="18" max="18" width="11.5546875" bestFit="1" customWidth="1"/>
    <col min="19" max="19" width="11.88671875" bestFit="1" customWidth="1"/>
  </cols>
  <sheetData>
    <row r="1" spans="3:19">
      <c r="C1" s="369" t="s">
        <v>2503</v>
      </c>
      <c r="D1" s="369"/>
      <c r="F1" s="369" t="s">
        <v>2527</v>
      </c>
      <c r="G1" s="369"/>
      <c r="I1" s="369" t="s">
        <v>2621</v>
      </c>
      <c r="J1" s="369"/>
      <c r="L1" s="1" t="s">
        <v>2718</v>
      </c>
      <c r="M1" s="1" t="s">
        <v>2719</v>
      </c>
      <c r="N1" s="1" t="s">
        <v>2720</v>
      </c>
      <c r="P1" s="1" t="s">
        <v>2757</v>
      </c>
      <c r="Q1" s="1" t="s">
        <v>2758</v>
      </c>
      <c r="R1" s="1" t="s">
        <v>2720</v>
      </c>
      <c r="S1" s="1" t="s">
        <v>2759</v>
      </c>
    </row>
    <row r="2" spans="3:19">
      <c r="C2" s="1" t="s">
        <v>2503</v>
      </c>
      <c r="D2" s="1" t="s">
        <v>2526</v>
      </c>
      <c r="F2" s="1" t="s">
        <v>2527</v>
      </c>
      <c r="G2" s="1" t="s">
        <v>2526</v>
      </c>
      <c r="I2" s="1" t="s">
        <v>2622</v>
      </c>
      <c r="J2" s="1" t="s">
        <v>2526</v>
      </c>
      <c r="L2" s="2" t="s">
        <v>2721</v>
      </c>
      <c r="M2" s="139">
        <v>9.9999999999999998E+23</v>
      </c>
      <c r="N2" s="7" t="s">
        <v>2722</v>
      </c>
      <c r="P2" s="2" t="s">
        <v>2760</v>
      </c>
      <c r="Q2" s="65" t="s">
        <v>2761</v>
      </c>
      <c r="R2" s="7" t="s">
        <v>2762</v>
      </c>
      <c r="S2" s="2" t="s">
        <v>2721</v>
      </c>
    </row>
    <row r="3" spans="3:19">
      <c r="C3" s="2" t="s">
        <v>2504</v>
      </c>
      <c r="D3" s="7" t="s">
        <v>2505</v>
      </c>
      <c r="F3" s="2" t="s">
        <v>2528</v>
      </c>
      <c r="G3" s="7" t="s">
        <v>2529</v>
      </c>
      <c r="I3" s="2" t="s">
        <v>2623</v>
      </c>
      <c r="J3" s="7" t="s">
        <v>2624</v>
      </c>
      <c r="L3" s="2" t="s">
        <v>2723</v>
      </c>
      <c r="M3" s="139">
        <v>1E+21</v>
      </c>
      <c r="N3" s="7" t="s">
        <v>2724</v>
      </c>
      <c r="P3" s="2" t="s">
        <v>2763</v>
      </c>
      <c r="Q3" s="65" t="s">
        <v>2764</v>
      </c>
      <c r="R3" s="7" t="s">
        <v>2765</v>
      </c>
      <c r="S3" s="2" t="s">
        <v>2723</v>
      </c>
    </row>
    <row r="4" spans="3:19">
      <c r="C4" s="2" t="s">
        <v>2506</v>
      </c>
      <c r="D4" s="7" t="s">
        <v>2507</v>
      </c>
      <c r="F4" s="2" t="s">
        <v>2530</v>
      </c>
      <c r="G4" s="7" t="s">
        <v>2531</v>
      </c>
      <c r="I4" s="2" t="s">
        <v>2625</v>
      </c>
      <c r="J4" s="7" t="s">
        <v>2626</v>
      </c>
      <c r="L4" s="2" t="s">
        <v>2725</v>
      </c>
      <c r="M4" s="139">
        <v>1E+18</v>
      </c>
      <c r="N4" s="7" t="s">
        <v>2726</v>
      </c>
      <c r="P4" s="2" t="s">
        <v>2766</v>
      </c>
      <c r="Q4" s="65" t="s">
        <v>2767</v>
      </c>
      <c r="R4" s="7" t="s">
        <v>2768</v>
      </c>
      <c r="S4" s="2" t="s">
        <v>2725</v>
      </c>
    </row>
    <row r="5" spans="3:19">
      <c r="C5" s="2" t="s">
        <v>2508</v>
      </c>
      <c r="D5" s="7" t="s">
        <v>2509</v>
      </c>
      <c r="F5" s="2" t="s">
        <v>2532</v>
      </c>
      <c r="G5" s="7" t="s">
        <v>2533</v>
      </c>
      <c r="I5" s="2" t="s">
        <v>2627</v>
      </c>
      <c r="J5" s="7" t="s">
        <v>2628</v>
      </c>
      <c r="L5" s="2" t="s">
        <v>2727</v>
      </c>
      <c r="M5" s="139">
        <v>1000000000000000</v>
      </c>
      <c r="N5" s="7" t="s">
        <v>2728</v>
      </c>
      <c r="P5" s="2" t="s">
        <v>2769</v>
      </c>
      <c r="Q5" s="65" t="s">
        <v>2770</v>
      </c>
      <c r="R5" s="7" t="s">
        <v>2771</v>
      </c>
      <c r="S5" s="2" t="s">
        <v>2727</v>
      </c>
    </row>
    <row r="6" spans="3:19">
      <c r="C6" s="2" t="s">
        <v>2510</v>
      </c>
      <c r="D6" s="7" t="s">
        <v>2511</v>
      </c>
      <c r="F6" s="2" t="s">
        <v>2534</v>
      </c>
      <c r="G6" s="7" t="s">
        <v>2535</v>
      </c>
      <c r="I6" s="2" t="s">
        <v>2629</v>
      </c>
      <c r="J6" s="7" t="s">
        <v>2630</v>
      </c>
      <c r="L6" s="2" t="s">
        <v>2729</v>
      </c>
      <c r="M6" s="139">
        <v>1000000000000</v>
      </c>
      <c r="N6" s="7" t="s">
        <v>2607</v>
      </c>
      <c r="P6" s="2" t="s">
        <v>2772</v>
      </c>
      <c r="Q6" s="65" t="s">
        <v>2773</v>
      </c>
      <c r="R6" s="7" t="s">
        <v>2774</v>
      </c>
      <c r="S6" s="2" t="s">
        <v>2729</v>
      </c>
    </row>
    <row r="7" spans="3:19">
      <c r="C7" s="2" t="s">
        <v>2512</v>
      </c>
      <c r="D7" s="7" t="s">
        <v>2513</v>
      </c>
      <c r="F7" s="2" t="s">
        <v>2536</v>
      </c>
      <c r="G7" s="7" t="s">
        <v>2537</v>
      </c>
      <c r="I7" s="2" t="s">
        <v>2631</v>
      </c>
      <c r="J7" s="7" t="s">
        <v>2632</v>
      </c>
      <c r="L7" s="2" t="s">
        <v>2730</v>
      </c>
      <c r="M7" s="139">
        <v>1000000000</v>
      </c>
      <c r="N7" s="7" t="s">
        <v>2731</v>
      </c>
      <c r="P7" s="2" t="s">
        <v>2775</v>
      </c>
      <c r="Q7" s="65" t="s">
        <v>2776</v>
      </c>
      <c r="R7" s="7" t="s">
        <v>2777</v>
      </c>
      <c r="S7" s="2" t="s">
        <v>2730</v>
      </c>
    </row>
    <row r="8" spans="3:19">
      <c r="C8" s="2" t="s">
        <v>2514</v>
      </c>
      <c r="D8" s="7" t="s">
        <v>2515</v>
      </c>
      <c r="F8" s="2" t="s">
        <v>2538</v>
      </c>
      <c r="G8" s="7" t="s">
        <v>2539</v>
      </c>
      <c r="I8" s="2" t="s">
        <v>2633</v>
      </c>
      <c r="J8" s="7" t="s">
        <v>2634</v>
      </c>
      <c r="L8" s="2" t="s">
        <v>2732</v>
      </c>
      <c r="M8" s="139">
        <v>1000000</v>
      </c>
      <c r="N8" s="7" t="s">
        <v>2733</v>
      </c>
      <c r="P8" s="2" t="s">
        <v>2778</v>
      </c>
      <c r="Q8" s="65" t="s">
        <v>2779</v>
      </c>
      <c r="R8" s="7" t="s">
        <v>2780</v>
      </c>
      <c r="S8" s="2" t="s">
        <v>2732</v>
      </c>
    </row>
    <row r="9" spans="3:19">
      <c r="C9" s="2" t="s">
        <v>2516</v>
      </c>
      <c r="D9" s="7" t="s">
        <v>2517</v>
      </c>
      <c r="F9" s="2" t="s">
        <v>2540</v>
      </c>
      <c r="G9" s="7" t="s">
        <v>2541</v>
      </c>
      <c r="I9" s="2" t="s">
        <v>2635</v>
      </c>
      <c r="J9" s="7" t="s">
        <v>2636</v>
      </c>
      <c r="L9" s="2" t="s">
        <v>2734</v>
      </c>
      <c r="M9" s="139">
        <v>1000</v>
      </c>
      <c r="N9" s="7" t="s">
        <v>2735</v>
      </c>
      <c r="P9" s="2" t="s">
        <v>2781</v>
      </c>
      <c r="Q9" s="65" t="s">
        <v>2782</v>
      </c>
      <c r="R9" s="7" t="s">
        <v>2783</v>
      </c>
      <c r="S9" s="2" t="s">
        <v>2734</v>
      </c>
    </row>
    <row r="10" spans="3:19">
      <c r="C10" s="2" t="s">
        <v>2518</v>
      </c>
      <c r="D10" s="7" t="s">
        <v>2519</v>
      </c>
      <c r="F10" s="2" t="s">
        <v>2542</v>
      </c>
      <c r="G10" s="7" t="s">
        <v>2543</v>
      </c>
      <c r="I10" s="2" t="s">
        <v>2637</v>
      </c>
      <c r="J10" s="7" t="s">
        <v>2638</v>
      </c>
      <c r="L10" s="2" t="s">
        <v>2736</v>
      </c>
      <c r="M10" s="139">
        <v>100</v>
      </c>
      <c r="N10" s="7" t="s">
        <v>2737</v>
      </c>
    </row>
    <row r="11" spans="3:19">
      <c r="C11" s="2" t="s">
        <v>2520</v>
      </c>
      <c r="D11" s="7" t="s">
        <v>2521</v>
      </c>
      <c r="F11" s="2" t="s">
        <v>2544</v>
      </c>
      <c r="G11" s="7" t="s">
        <v>2545</v>
      </c>
      <c r="I11" s="2" t="s">
        <v>2639</v>
      </c>
      <c r="J11" s="7" t="s">
        <v>2640</v>
      </c>
      <c r="L11" s="2" t="s">
        <v>2738</v>
      </c>
      <c r="M11" s="139">
        <v>10</v>
      </c>
      <c r="N11" s="7" t="s">
        <v>2739</v>
      </c>
    </row>
    <row r="12" spans="3:19">
      <c r="C12" s="2" t="s">
        <v>2522</v>
      </c>
      <c r="D12" s="7" t="s">
        <v>2523</v>
      </c>
      <c r="F12" s="2" t="s">
        <v>2546</v>
      </c>
      <c r="G12" s="7" t="s">
        <v>2547</v>
      </c>
      <c r="I12" s="2" t="s">
        <v>2641</v>
      </c>
      <c r="J12" s="7" t="s">
        <v>2642</v>
      </c>
      <c r="L12" s="2" t="s">
        <v>2740</v>
      </c>
      <c r="M12" s="139">
        <v>0.1</v>
      </c>
      <c r="N12" s="7" t="s">
        <v>2741</v>
      </c>
    </row>
    <row r="13" spans="3:19">
      <c r="C13" s="2" t="s">
        <v>2524</v>
      </c>
      <c r="D13" s="7" t="s">
        <v>2525</v>
      </c>
      <c r="F13" s="2" t="s">
        <v>2548</v>
      </c>
      <c r="G13" s="7" t="s">
        <v>2549</v>
      </c>
      <c r="I13" s="2" t="s">
        <v>2643</v>
      </c>
      <c r="J13" s="7" t="s">
        <v>2644</v>
      </c>
      <c r="L13" s="2" t="s">
        <v>2742</v>
      </c>
      <c r="M13" s="139">
        <v>0.01</v>
      </c>
      <c r="N13" s="7" t="s">
        <v>2586</v>
      </c>
    </row>
    <row r="14" spans="3:19">
      <c r="F14" s="2" t="s">
        <v>2550</v>
      </c>
      <c r="G14" s="7" t="s">
        <v>2551</v>
      </c>
      <c r="I14" s="2" t="s">
        <v>2645</v>
      </c>
      <c r="J14" s="7" t="s">
        <v>2646</v>
      </c>
      <c r="L14" s="2" t="s">
        <v>2743</v>
      </c>
      <c r="M14" s="139">
        <v>1E-3</v>
      </c>
      <c r="N14" s="7" t="s">
        <v>2529</v>
      </c>
    </row>
    <row r="15" spans="3:19">
      <c r="F15" s="2" t="s">
        <v>2552</v>
      </c>
      <c r="G15" s="7" t="s">
        <v>2553</v>
      </c>
      <c r="I15" s="2" t="s">
        <v>2647</v>
      </c>
      <c r="J15" s="7" t="s">
        <v>2648</v>
      </c>
      <c r="L15" s="2" t="s">
        <v>2744</v>
      </c>
      <c r="M15" s="139">
        <v>9.9999999999999995E-7</v>
      </c>
      <c r="N15" s="7" t="s">
        <v>2511</v>
      </c>
    </row>
    <row r="16" spans="3:19">
      <c r="I16" s="2" t="s">
        <v>2649</v>
      </c>
      <c r="J16" s="7" t="s">
        <v>2650</v>
      </c>
      <c r="L16" s="2" t="s">
        <v>2745</v>
      </c>
      <c r="M16" s="139">
        <v>1.0000000000000001E-9</v>
      </c>
      <c r="N16" s="7" t="s">
        <v>2746</v>
      </c>
    </row>
    <row r="17" spans="3:14">
      <c r="I17" s="2" t="s">
        <v>2651</v>
      </c>
      <c r="J17" s="7" t="s">
        <v>2652</v>
      </c>
      <c r="L17" s="2" t="s">
        <v>2747</v>
      </c>
      <c r="M17" s="139">
        <v>9.9999999999999998E-13</v>
      </c>
      <c r="N17" s="7" t="s">
        <v>2748</v>
      </c>
    </row>
    <row r="18" spans="3:14">
      <c r="C18" s="369" t="s">
        <v>305</v>
      </c>
      <c r="D18" s="369"/>
      <c r="F18" s="369" t="s">
        <v>2560</v>
      </c>
      <c r="G18" s="369"/>
      <c r="I18" s="2" t="s">
        <v>2653</v>
      </c>
      <c r="J18" s="7" t="s">
        <v>2654</v>
      </c>
      <c r="L18" s="2" t="s">
        <v>2749</v>
      </c>
      <c r="M18" s="139">
        <v>1.0000000000000001E-15</v>
      </c>
      <c r="N18" s="7" t="s">
        <v>2750</v>
      </c>
    </row>
    <row r="19" spans="3:14">
      <c r="C19" s="1" t="s">
        <v>305</v>
      </c>
      <c r="D19" s="1" t="s">
        <v>2526</v>
      </c>
      <c r="F19" s="1" t="s">
        <v>2560</v>
      </c>
      <c r="G19" s="1" t="s">
        <v>2526</v>
      </c>
      <c r="I19" s="2" t="s">
        <v>2655</v>
      </c>
      <c r="J19" s="7" t="s">
        <v>2656</v>
      </c>
      <c r="L19" s="2" t="s">
        <v>2751</v>
      </c>
      <c r="M19" s="139">
        <v>1.0000000000000001E-18</v>
      </c>
      <c r="N19" s="7" t="s">
        <v>2752</v>
      </c>
    </row>
    <row r="20" spans="3:14">
      <c r="C20" s="2" t="s">
        <v>33</v>
      </c>
      <c r="D20" s="7" t="s">
        <v>2554</v>
      </c>
      <c r="F20" s="2" t="s">
        <v>2561</v>
      </c>
      <c r="G20" s="7" t="s">
        <v>2562</v>
      </c>
      <c r="I20" s="2" t="s">
        <v>2657</v>
      </c>
      <c r="J20" s="7" t="s">
        <v>2658</v>
      </c>
      <c r="L20" s="2" t="s">
        <v>2753</v>
      </c>
      <c r="M20" s="139">
        <v>9.9999999999999991E-22</v>
      </c>
      <c r="N20" s="7" t="s">
        <v>2754</v>
      </c>
    </row>
    <row r="21" spans="3:14">
      <c r="C21" s="2" t="s">
        <v>108</v>
      </c>
      <c r="D21" s="7" t="s">
        <v>2555</v>
      </c>
      <c r="F21" s="2" t="s">
        <v>2563</v>
      </c>
      <c r="G21" s="7" t="s">
        <v>2564</v>
      </c>
      <c r="I21" s="2" t="s">
        <v>2659</v>
      </c>
      <c r="J21" s="7" t="s">
        <v>2660</v>
      </c>
      <c r="L21" s="2" t="s">
        <v>2755</v>
      </c>
      <c r="M21" s="139">
        <v>9.9999999999999992E-25</v>
      </c>
      <c r="N21" s="7" t="s">
        <v>2756</v>
      </c>
    </row>
    <row r="22" spans="3:14">
      <c r="C22" s="2" t="s">
        <v>659</v>
      </c>
      <c r="D22" s="7" t="s">
        <v>2556</v>
      </c>
      <c r="F22" s="2" t="s">
        <v>2565</v>
      </c>
      <c r="G22" s="7" t="s">
        <v>2566</v>
      </c>
      <c r="I22" s="2" t="s">
        <v>2661</v>
      </c>
      <c r="J22" s="7" t="s">
        <v>2662</v>
      </c>
    </row>
    <row r="23" spans="3:14">
      <c r="C23" s="2" t="s">
        <v>2557</v>
      </c>
      <c r="D23" s="7" t="s">
        <v>2558</v>
      </c>
      <c r="F23" s="2" t="s">
        <v>2567</v>
      </c>
      <c r="G23" s="7" t="s">
        <v>2568</v>
      </c>
      <c r="I23" s="2" t="s">
        <v>2663</v>
      </c>
      <c r="J23" s="7" t="s">
        <v>2664</v>
      </c>
    </row>
    <row r="24" spans="3:14">
      <c r="C24" s="2" t="s">
        <v>660</v>
      </c>
      <c r="D24" s="7" t="s">
        <v>2559</v>
      </c>
      <c r="F24" s="2" t="s">
        <v>2569</v>
      </c>
      <c r="G24" s="7" t="s">
        <v>2570</v>
      </c>
      <c r="I24" s="2" t="s">
        <v>2665</v>
      </c>
      <c r="J24" s="7" t="s">
        <v>2666</v>
      </c>
    </row>
    <row r="25" spans="3:14">
      <c r="I25" s="2" t="s">
        <v>2667</v>
      </c>
      <c r="J25" s="7" t="s">
        <v>2668</v>
      </c>
    </row>
    <row r="26" spans="3:14">
      <c r="C26" s="369" t="s">
        <v>2571</v>
      </c>
      <c r="D26" s="369"/>
      <c r="F26" s="369" t="s">
        <v>2580</v>
      </c>
      <c r="G26" s="369"/>
      <c r="I26" s="2" t="s">
        <v>2669</v>
      </c>
      <c r="J26" s="7" t="s">
        <v>2670</v>
      </c>
    </row>
    <row r="27" spans="3:14">
      <c r="C27" s="1" t="s">
        <v>2571</v>
      </c>
      <c r="D27" s="1" t="s">
        <v>2526</v>
      </c>
      <c r="F27" s="1" t="s">
        <v>2580</v>
      </c>
      <c r="G27" s="1" t="s">
        <v>2526</v>
      </c>
      <c r="I27" s="2" t="s">
        <v>2671</v>
      </c>
      <c r="J27" s="7" t="s">
        <v>2672</v>
      </c>
    </row>
    <row r="28" spans="3:14">
      <c r="C28" s="2" t="s">
        <v>2572</v>
      </c>
      <c r="D28" s="7" t="s">
        <v>2573</v>
      </c>
      <c r="F28" s="2" t="s">
        <v>2581</v>
      </c>
      <c r="G28" s="7" t="s">
        <v>2582</v>
      </c>
    </row>
    <row r="29" spans="3:14">
      <c r="C29" s="2" t="s">
        <v>2574</v>
      </c>
      <c r="D29" s="7" t="s">
        <v>2575</v>
      </c>
      <c r="F29" s="2" t="s">
        <v>2583</v>
      </c>
      <c r="G29" s="7" t="s">
        <v>2584</v>
      </c>
    </row>
    <row r="30" spans="3:14">
      <c r="C30" s="2" t="s">
        <v>2576</v>
      </c>
      <c r="D30" s="7" t="s">
        <v>2577</v>
      </c>
      <c r="F30" s="2" t="s">
        <v>2585</v>
      </c>
      <c r="G30" s="7" t="s">
        <v>2586</v>
      </c>
    </row>
    <row r="31" spans="3:14">
      <c r="C31" s="2" t="s">
        <v>2578</v>
      </c>
      <c r="D31" s="7" t="s">
        <v>2579</v>
      </c>
      <c r="F31" s="2" t="s">
        <v>2587</v>
      </c>
      <c r="G31" s="7" t="s">
        <v>2588</v>
      </c>
    </row>
    <row r="32" spans="3:14">
      <c r="F32" s="2" t="s">
        <v>2589</v>
      </c>
      <c r="G32" s="7" t="s">
        <v>2590</v>
      </c>
    </row>
    <row r="33" spans="3:7">
      <c r="C33" s="369" t="s">
        <v>1699</v>
      </c>
      <c r="D33" s="369"/>
      <c r="F33" s="2" t="s">
        <v>2591</v>
      </c>
      <c r="G33" s="7" t="s">
        <v>2592</v>
      </c>
    </row>
    <row r="34" spans="3:7">
      <c r="C34" s="1" t="s">
        <v>1699</v>
      </c>
      <c r="D34" s="1" t="s">
        <v>2526</v>
      </c>
      <c r="F34" s="2" t="s">
        <v>2593</v>
      </c>
      <c r="G34" s="7" t="s">
        <v>2594</v>
      </c>
    </row>
    <row r="35" spans="3:7">
      <c r="C35" s="2" t="s">
        <v>2599</v>
      </c>
      <c r="D35" s="7" t="s">
        <v>2600</v>
      </c>
      <c r="F35" s="2" t="s">
        <v>2595</v>
      </c>
      <c r="G35" s="7" t="s">
        <v>2596</v>
      </c>
    </row>
    <row r="36" spans="3:7">
      <c r="C36" s="2" t="s">
        <v>2601</v>
      </c>
      <c r="D36" s="7" t="s">
        <v>2602</v>
      </c>
      <c r="F36" s="2" t="s">
        <v>2597</v>
      </c>
      <c r="G36" s="7" t="s">
        <v>2598</v>
      </c>
    </row>
    <row r="37" spans="3:7">
      <c r="C37" s="2" t="s">
        <v>2603</v>
      </c>
      <c r="D37" s="7" t="s">
        <v>2604</v>
      </c>
    </row>
    <row r="39" spans="3:7">
      <c r="C39" s="369" t="s">
        <v>2605</v>
      </c>
      <c r="D39" s="369"/>
      <c r="F39" s="369" t="s">
        <v>2610</v>
      </c>
      <c r="G39" s="369"/>
    </row>
    <row r="40" spans="3:7">
      <c r="C40" s="1" t="s">
        <v>2605</v>
      </c>
      <c r="D40" s="1" t="s">
        <v>2526</v>
      </c>
      <c r="F40" s="1" t="s">
        <v>2610</v>
      </c>
      <c r="G40" s="1" t="s">
        <v>2526</v>
      </c>
    </row>
    <row r="41" spans="3:7">
      <c r="C41" s="2" t="s">
        <v>2606</v>
      </c>
      <c r="D41" s="7" t="s">
        <v>2607</v>
      </c>
      <c r="F41" s="2" t="s">
        <v>2611</v>
      </c>
      <c r="G41" s="7" t="s">
        <v>2612</v>
      </c>
    </row>
    <row r="42" spans="3:7">
      <c r="C42" s="2" t="s">
        <v>2608</v>
      </c>
      <c r="D42" s="7" t="s">
        <v>2609</v>
      </c>
      <c r="F42" s="2" t="s">
        <v>2613</v>
      </c>
      <c r="G42" s="7" t="s">
        <v>2614</v>
      </c>
    </row>
    <row r="43" spans="3:7">
      <c r="F43" s="2" t="s">
        <v>2615</v>
      </c>
      <c r="G43" s="7" t="s">
        <v>2616</v>
      </c>
    </row>
    <row r="44" spans="3:7">
      <c r="C44" s="369" t="s">
        <v>2673</v>
      </c>
      <c r="D44" s="369"/>
      <c r="F44" s="2" t="s">
        <v>2617</v>
      </c>
      <c r="G44" s="7" t="s">
        <v>2618</v>
      </c>
    </row>
    <row r="45" spans="3:7">
      <c r="C45" s="1" t="s">
        <v>2673</v>
      </c>
      <c r="D45" s="1" t="s">
        <v>2526</v>
      </c>
      <c r="F45" s="2" t="s">
        <v>2619</v>
      </c>
      <c r="G45" s="7" t="s">
        <v>2620</v>
      </c>
    </row>
    <row r="46" spans="3:7">
      <c r="C46" s="2" t="s">
        <v>2674</v>
      </c>
      <c r="D46" s="7" t="s">
        <v>2675</v>
      </c>
    </row>
    <row r="47" spans="3:7">
      <c r="C47" s="2" t="s">
        <v>2676</v>
      </c>
      <c r="D47" s="7" t="s">
        <v>2677</v>
      </c>
      <c r="F47" s="369" t="s">
        <v>2702</v>
      </c>
      <c r="G47" s="369"/>
    </row>
    <row r="48" spans="3:7">
      <c r="C48" s="2" t="s">
        <v>2678</v>
      </c>
      <c r="D48" s="7" t="s">
        <v>2679</v>
      </c>
      <c r="F48" s="1" t="s">
        <v>2702</v>
      </c>
      <c r="G48" s="1" t="s">
        <v>2526</v>
      </c>
    </row>
    <row r="49" spans="3:7">
      <c r="C49" s="2" t="s">
        <v>2680</v>
      </c>
      <c r="D49" s="7" t="s">
        <v>2681</v>
      </c>
      <c r="F49" s="2" t="s">
        <v>2703</v>
      </c>
      <c r="G49" s="7" t="s">
        <v>2704</v>
      </c>
    </row>
    <row r="50" spans="3:7">
      <c r="C50" s="2" t="s">
        <v>2682</v>
      </c>
      <c r="D50" s="7" t="s">
        <v>2683</v>
      </c>
      <c r="F50" s="2" t="s">
        <v>2705</v>
      </c>
      <c r="G50" s="7" t="s">
        <v>2706</v>
      </c>
    </row>
    <row r="51" spans="3:7">
      <c r="C51" s="2" t="s">
        <v>2684</v>
      </c>
      <c r="D51" s="7" t="s">
        <v>2685</v>
      </c>
    </row>
    <row r="52" spans="3:7">
      <c r="C52" s="2" t="s">
        <v>2686</v>
      </c>
      <c r="D52" s="7" t="s">
        <v>2687</v>
      </c>
      <c r="F52" s="369" t="s">
        <v>2707</v>
      </c>
      <c r="G52" s="369"/>
    </row>
    <row r="53" spans="3:7">
      <c r="C53" s="2" t="s">
        <v>2688</v>
      </c>
      <c r="D53" s="7" t="s">
        <v>2689</v>
      </c>
      <c r="F53" s="1" t="s">
        <v>2707</v>
      </c>
      <c r="G53" s="1" t="s">
        <v>2526</v>
      </c>
    </row>
    <row r="54" spans="3:7">
      <c r="C54" s="2" t="s">
        <v>2690</v>
      </c>
      <c r="D54" s="7" t="s">
        <v>2691</v>
      </c>
      <c r="F54" s="2" t="s">
        <v>2708</v>
      </c>
      <c r="G54" s="7" t="s">
        <v>2709</v>
      </c>
    </row>
    <row r="55" spans="3:7">
      <c r="C55" s="2" t="s">
        <v>2692</v>
      </c>
      <c r="D55" s="7" t="s">
        <v>2693</v>
      </c>
      <c r="F55" s="2" t="s">
        <v>2710</v>
      </c>
      <c r="G55" s="7" t="s">
        <v>2711</v>
      </c>
    </row>
    <row r="56" spans="3:7">
      <c r="C56" s="2" t="s">
        <v>2694</v>
      </c>
      <c r="D56" s="7" t="s">
        <v>2695</v>
      </c>
      <c r="F56" s="2" t="s">
        <v>2712</v>
      </c>
      <c r="G56" s="7" t="s">
        <v>2713</v>
      </c>
    </row>
    <row r="57" spans="3:7">
      <c r="C57" s="2" t="s">
        <v>2696</v>
      </c>
      <c r="D57" s="7" t="s">
        <v>2697</v>
      </c>
      <c r="F57" s="2" t="s">
        <v>2714</v>
      </c>
      <c r="G57" s="7" t="s">
        <v>2715</v>
      </c>
    </row>
    <row r="58" spans="3:7">
      <c r="C58" s="2" t="s">
        <v>2698</v>
      </c>
      <c r="D58" s="7" t="s">
        <v>2699</v>
      </c>
      <c r="F58" s="2" t="s">
        <v>2716</v>
      </c>
      <c r="G58" s="7" t="s">
        <v>2717</v>
      </c>
    </row>
    <row r="59" spans="3:7">
      <c r="C59" s="2" t="s">
        <v>2700</v>
      </c>
      <c r="D59" s="7" t="s">
        <v>2701</v>
      </c>
    </row>
  </sheetData>
  <mergeCells count="13">
    <mergeCell ref="F52:G52"/>
    <mergeCell ref="C33:D33"/>
    <mergeCell ref="C39:D39"/>
    <mergeCell ref="F39:G39"/>
    <mergeCell ref="I1:J1"/>
    <mergeCell ref="C44:D44"/>
    <mergeCell ref="F47:G47"/>
    <mergeCell ref="C1:D1"/>
    <mergeCell ref="F1:G1"/>
    <mergeCell ref="C18:D18"/>
    <mergeCell ref="F18:G18"/>
    <mergeCell ref="C26:D26"/>
    <mergeCell ref="F26:G2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4B73-F695-43B6-AEBE-8FE3067F4083}">
  <sheetPr codeName="Sheet269"/>
  <dimension ref="A1:E9"/>
  <sheetViews>
    <sheetView workbookViewId="0">
      <selection activeCell="C17" sqref="C17"/>
    </sheetView>
  </sheetViews>
  <sheetFormatPr defaultRowHeight="14.4"/>
  <cols>
    <col min="1" max="1" width="7.5546875" bestFit="1" customWidth="1"/>
    <col min="2" max="2" width="9.6640625" bestFit="1" customWidth="1"/>
    <col min="3" max="3" width="7.44140625" bestFit="1" customWidth="1"/>
    <col min="4" max="4" width="17" bestFit="1" customWidth="1"/>
    <col min="5" max="5" width="62.6640625" bestFit="1" customWidth="1"/>
  </cols>
  <sheetData>
    <row r="1" spans="1:5">
      <c r="A1" s="1" t="s">
        <v>153</v>
      </c>
      <c r="B1" s="1" t="s">
        <v>2784</v>
      </c>
      <c r="C1" s="1" t="s">
        <v>2785</v>
      </c>
      <c r="D1" s="1" t="s">
        <v>2490</v>
      </c>
      <c r="E1" s="1" t="s">
        <v>664</v>
      </c>
    </row>
    <row r="2" spans="1:5">
      <c r="A2" s="2">
        <v>200</v>
      </c>
      <c r="B2" s="2" t="s">
        <v>2786</v>
      </c>
      <c r="C2" s="2" t="s">
        <v>2787</v>
      </c>
      <c r="D2" s="7">
        <f>CONVERT(A2,B2,C2)</f>
        <v>321.86880000000002</v>
      </c>
      <c r="E2" s="65" t="s">
        <v>2798</v>
      </c>
    </row>
    <row r="3" spans="1:5">
      <c r="A3" s="2">
        <v>290</v>
      </c>
      <c r="B3" s="2" t="s">
        <v>2788</v>
      </c>
      <c r="C3" s="2" t="s">
        <v>2789</v>
      </c>
      <c r="D3" s="7">
        <f>CONVERT(290,"N","lbf")</f>
        <v>65.194593498916035</v>
      </c>
      <c r="E3" s="65" t="s">
        <v>2803</v>
      </c>
    </row>
    <row r="4" spans="1:5">
      <c r="A4" s="2">
        <v>100</v>
      </c>
      <c r="B4" s="2" t="s">
        <v>2460</v>
      </c>
      <c r="C4" s="2" t="s">
        <v>2843</v>
      </c>
      <c r="D4" s="7">
        <f>CONVERT(A4,B4,C4)</f>
        <v>0.1</v>
      </c>
      <c r="E4" s="65" t="s">
        <v>2844</v>
      </c>
    </row>
    <row r="5" spans="1:5">
      <c r="A5" s="2">
        <v>1000</v>
      </c>
      <c r="B5" s="2" t="s">
        <v>654</v>
      </c>
      <c r="C5" s="2" t="s">
        <v>2797</v>
      </c>
      <c r="D5" s="7">
        <f>CONVERT(1000,B5,C5)</f>
        <v>9.9999999999999991E-22</v>
      </c>
      <c r="E5" s="65" t="s">
        <v>2804</v>
      </c>
    </row>
    <row r="6" spans="1:5">
      <c r="A6" s="2" t="s">
        <v>2794</v>
      </c>
      <c r="B6" s="2" t="s">
        <v>2795</v>
      </c>
      <c r="C6" s="2" t="s">
        <v>2796</v>
      </c>
      <c r="D6" s="145" t="e">
        <f>CONVERT(A6,B6,C6)</f>
        <v>#VALUE!</v>
      </c>
      <c r="E6" s="65" t="s">
        <v>2799</v>
      </c>
    </row>
    <row r="7" spans="1:5">
      <c r="A7" s="2">
        <v>50</v>
      </c>
      <c r="B7" s="2" t="s">
        <v>2790</v>
      </c>
      <c r="C7" s="2" t="s">
        <v>2791</v>
      </c>
      <c r="D7" s="7" t="e">
        <f>CONVERT(50,"HP",W)</f>
        <v>#NAME?</v>
      </c>
      <c r="E7" s="65" t="s">
        <v>2800</v>
      </c>
    </row>
    <row r="8" spans="1:5">
      <c r="A8" s="2">
        <v>500</v>
      </c>
      <c r="B8" s="2" t="s">
        <v>1997</v>
      </c>
      <c r="C8" s="2" t="s">
        <v>2792</v>
      </c>
      <c r="D8" s="7" t="e">
        <f>CONVERT(A8,B8,C8)</f>
        <v>#N/A</v>
      </c>
      <c r="E8" s="65" t="s">
        <v>2801</v>
      </c>
    </row>
    <row r="9" spans="1:5">
      <c r="A9" s="2">
        <v>120</v>
      </c>
      <c r="B9" s="2" t="s">
        <v>654</v>
      </c>
      <c r="C9" s="2" t="s">
        <v>2793</v>
      </c>
      <c r="D9" s="7" t="e">
        <f>CONVERT(120,"m","mph")</f>
        <v>#N/A</v>
      </c>
      <c r="E9" s="65" t="s">
        <v>2802</v>
      </c>
    </row>
  </sheetData>
  <pageMargins left="0.7" right="0.7" top="0.75" bottom="0.75" header="0.3" footer="0.3"/>
  <ignoredErrors>
    <ignoredError sqref="D3 D5" formula="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8949-2697-477A-AF13-97391ED67DE6}">
  <sheetPr codeName="Sheet270"/>
  <dimension ref="A1:I11"/>
  <sheetViews>
    <sheetView workbookViewId="0">
      <selection activeCell="C17" sqref="C17"/>
    </sheetView>
  </sheetViews>
  <sheetFormatPr defaultRowHeight="14.4"/>
  <cols>
    <col min="1" max="1" width="11" bestFit="1" customWidth="1"/>
    <col min="2" max="2" width="21.33203125" bestFit="1" customWidth="1"/>
    <col min="3" max="3" width="22.88671875" bestFit="1" customWidth="1"/>
    <col min="5" max="5" width="10.88671875" bestFit="1" customWidth="1"/>
    <col min="8" max="8" width="12.109375" bestFit="1" customWidth="1"/>
  </cols>
  <sheetData>
    <row r="1" spans="1:9">
      <c r="A1" s="1" t="s">
        <v>1318</v>
      </c>
      <c r="B1" s="1" t="s">
        <v>2805</v>
      </c>
      <c r="C1" s="1" t="s">
        <v>2840</v>
      </c>
    </row>
    <row r="2" spans="1:9">
      <c r="A2" s="2" t="s">
        <v>2806</v>
      </c>
      <c r="B2" s="2">
        <v>570641</v>
      </c>
      <c r="C2" s="7">
        <f>CONVERT(B2,"mi2","m2")</f>
        <v>1477953405270.2454</v>
      </c>
    </row>
    <row r="3" spans="1:9">
      <c r="A3" s="2" t="s">
        <v>348</v>
      </c>
      <c r="B3" s="2">
        <v>261914</v>
      </c>
      <c r="C3" s="7">
        <f t="shared" ref="C3:C11" si="0">CONVERT(B3,"mi2","m2")</f>
        <v>678354145930.54309</v>
      </c>
    </row>
    <row r="4" spans="1:9">
      <c r="A4" s="2" t="s">
        <v>347</v>
      </c>
      <c r="B4" s="2">
        <v>155973</v>
      </c>
      <c r="C4" s="7">
        <f t="shared" si="0"/>
        <v>403968215533.43695</v>
      </c>
    </row>
    <row r="5" spans="1:9">
      <c r="A5" s="2" t="s">
        <v>2807</v>
      </c>
      <c r="B5" s="2">
        <v>145556</v>
      </c>
      <c r="C5" s="7">
        <f t="shared" si="0"/>
        <v>376988309388.06683</v>
      </c>
    </row>
    <row r="6" spans="1:9">
      <c r="A6" s="2" t="s">
        <v>2808</v>
      </c>
      <c r="B6" s="2">
        <v>121365</v>
      </c>
      <c r="C6" s="7">
        <f t="shared" si="0"/>
        <v>314333907010.92865</v>
      </c>
    </row>
    <row r="7" spans="1:9">
      <c r="A7" s="2" t="s">
        <v>1321</v>
      </c>
      <c r="B7" s="2">
        <v>113642</v>
      </c>
      <c r="C7" s="7">
        <f t="shared" si="0"/>
        <v>294331428834.80371</v>
      </c>
    </row>
    <row r="8" spans="1:9">
      <c r="A8" s="2" t="s">
        <v>2809</v>
      </c>
      <c r="B8" s="2">
        <v>109806</v>
      </c>
      <c r="C8" s="7">
        <f t="shared" si="0"/>
        <v>284396234443.55481</v>
      </c>
    </row>
    <row r="9" spans="1:9">
      <c r="A9" s="2" t="s">
        <v>1326</v>
      </c>
      <c r="B9" s="2">
        <v>103730</v>
      </c>
      <c r="C9" s="7">
        <f t="shared" si="0"/>
        <v>268659466685.15329</v>
      </c>
      <c r="H9">
        <f>CONVERT(B11,"mi^2","m^2")</f>
        <v>248646628556.58701</v>
      </c>
      <c r="I9" s="38" t="s">
        <v>2841</v>
      </c>
    </row>
    <row r="10" spans="1:9">
      <c r="A10" s="2" t="s">
        <v>2810</v>
      </c>
      <c r="B10" s="2">
        <v>97105</v>
      </c>
      <c r="C10" s="7">
        <f t="shared" si="0"/>
        <v>251500795454.17728</v>
      </c>
      <c r="H10">
        <f>CONVERT(CONVERT(B11,"mi","m"),"mi","m")</f>
        <v>248646628556.58704</v>
      </c>
      <c r="I10" s="38" t="s">
        <v>2842</v>
      </c>
    </row>
    <row r="11" spans="1:9">
      <c r="A11" s="2" t="s">
        <v>2811</v>
      </c>
      <c r="B11" s="2">
        <v>96003</v>
      </c>
      <c r="C11" s="7">
        <f t="shared" si="0"/>
        <v>248646628556.58701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71B4-8BD5-4297-8504-EB21376673A3}">
  <sheetPr codeName="Sheet271"/>
  <dimension ref="A1:D6"/>
  <sheetViews>
    <sheetView workbookViewId="0">
      <selection activeCell="C17" sqref="C17"/>
    </sheetView>
  </sheetViews>
  <sheetFormatPr defaultRowHeight="14.4"/>
  <cols>
    <col min="1" max="1" width="5.109375" bestFit="1" customWidth="1"/>
    <col min="2" max="2" width="14.88671875" bestFit="1" customWidth="1"/>
    <col min="3" max="3" width="11.44140625" bestFit="1" customWidth="1"/>
    <col min="4" max="4" width="20.44140625" bestFit="1" customWidth="1"/>
  </cols>
  <sheetData>
    <row r="1" spans="1:4">
      <c r="A1" s="1" t="s">
        <v>2812</v>
      </c>
      <c r="B1" s="1" t="s">
        <v>2820</v>
      </c>
      <c r="C1" s="1" t="s">
        <v>2819</v>
      </c>
      <c r="D1" s="1" t="s">
        <v>2818</v>
      </c>
    </row>
    <row r="2" spans="1:4">
      <c r="A2" s="2" t="s">
        <v>2813</v>
      </c>
      <c r="B2" s="2">
        <v>38</v>
      </c>
      <c r="C2" s="2">
        <v>2</v>
      </c>
      <c r="D2" s="7">
        <f>CONVERT(B2,"mi","m")/CONVERT(C2,"hr","sec")</f>
        <v>8.49376</v>
      </c>
    </row>
    <row r="3" spans="1:4">
      <c r="A3" s="2" t="s">
        <v>2814</v>
      </c>
      <c r="B3" s="2">
        <v>70</v>
      </c>
      <c r="C3" s="2">
        <v>4</v>
      </c>
      <c r="D3" s="7">
        <f>CONVERT(B3,"mi","m")/CONVERT(C3,"hr","sec")</f>
        <v>7.8231999999999999</v>
      </c>
    </row>
    <row r="4" spans="1:4">
      <c r="A4" s="2" t="s">
        <v>2815</v>
      </c>
      <c r="B4" s="2">
        <v>40</v>
      </c>
      <c r="C4" s="2">
        <v>3</v>
      </c>
      <c r="D4" s="7">
        <f>CONVERT(B4,"mi","m")/CONVERT(C4,"hr","sec")</f>
        <v>5.9605333333333332</v>
      </c>
    </row>
    <row r="5" spans="1:4">
      <c r="A5" s="2" t="s">
        <v>2816</v>
      </c>
      <c r="B5" s="2">
        <v>66</v>
      </c>
      <c r="C5" s="2">
        <v>3.5</v>
      </c>
      <c r="D5" s="7">
        <f>CONVERT(B5,"mi","m")/CONVERT(C5,"hr","sec")</f>
        <v>8.4298971428571434</v>
      </c>
    </row>
    <row r="6" spans="1:4">
      <c r="A6" s="2" t="s">
        <v>2817</v>
      </c>
      <c r="B6" s="2">
        <v>90</v>
      </c>
      <c r="C6" s="2">
        <v>5</v>
      </c>
      <c r="D6" s="7">
        <f>CONVERT(B6,"mi","m")/CONVERT(C6,"hr","sec")</f>
        <v>8.0467199999999988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CBC5-D3F0-4F1E-9681-224B7270B4A7}">
  <sheetPr codeName="Sheet272"/>
  <dimension ref="A1:F11"/>
  <sheetViews>
    <sheetView workbookViewId="0">
      <selection activeCell="C17" sqref="C17"/>
    </sheetView>
  </sheetViews>
  <sheetFormatPr defaultRowHeight="14.4"/>
  <cols>
    <col min="1" max="1" width="11.44140625" bestFit="1" customWidth="1"/>
    <col min="2" max="2" width="26.6640625" bestFit="1" customWidth="1"/>
    <col min="5" max="5" width="11.44140625" bestFit="1" customWidth="1"/>
    <col min="6" max="6" width="30.109375" customWidth="1"/>
  </cols>
  <sheetData>
    <row r="1" spans="1:6">
      <c r="A1" s="1" t="s">
        <v>30</v>
      </c>
      <c r="B1" s="1" t="s">
        <v>2821</v>
      </c>
      <c r="E1" s="1" t="s">
        <v>30</v>
      </c>
      <c r="F1" s="1" t="s">
        <v>2832</v>
      </c>
    </row>
    <row r="2" spans="1:6">
      <c r="A2" s="2" t="s">
        <v>2822</v>
      </c>
      <c r="B2" s="2">
        <v>28.83</v>
      </c>
      <c r="E2" s="2" t="s">
        <v>2827</v>
      </c>
      <c r="F2" s="7">
        <f>ROUND(CONVERT(VLOOKUP(E2,A:B,2,0),"C","F"),2)</f>
        <v>83.01</v>
      </c>
    </row>
    <row r="3" spans="1:6">
      <c r="A3" s="2" t="s">
        <v>2823</v>
      </c>
      <c r="B3" s="2">
        <v>28.71</v>
      </c>
    </row>
    <row r="4" spans="1:6">
      <c r="A4" s="2" t="s">
        <v>2824</v>
      </c>
      <c r="B4" s="2">
        <v>28.65</v>
      </c>
    </row>
    <row r="5" spans="1:6">
      <c r="A5" s="2" t="s">
        <v>2825</v>
      </c>
      <c r="B5" s="2">
        <v>28.45</v>
      </c>
    </row>
    <row r="6" spans="1:6">
      <c r="A6" s="2" t="s">
        <v>2826</v>
      </c>
      <c r="B6" s="2">
        <v>28.38</v>
      </c>
    </row>
    <row r="7" spans="1:6">
      <c r="A7" s="2" t="s">
        <v>2827</v>
      </c>
      <c r="B7" s="2">
        <v>28.34</v>
      </c>
    </row>
    <row r="8" spans="1:6">
      <c r="A8" s="2" t="s">
        <v>2828</v>
      </c>
      <c r="B8" s="2">
        <v>28.23</v>
      </c>
    </row>
    <row r="9" spans="1:6">
      <c r="A9" s="2" t="s">
        <v>2829</v>
      </c>
      <c r="B9" s="2">
        <v>28.04</v>
      </c>
    </row>
    <row r="10" spans="1:6">
      <c r="A10" s="2" t="s">
        <v>2830</v>
      </c>
      <c r="B10" s="2">
        <v>28.02</v>
      </c>
    </row>
    <row r="11" spans="1:6">
      <c r="A11" s="2" t="s">
        <v>2831</v>
      </c>
      <c r="B11" s="2">
        <v>27.97</v>
      </c>
    </row>
  </sheetData>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C01E-82F5-43EB-974D-77B6F666A04F}">
  <sheetPr codeName="Sheet273"/>
  <dimension ref="A1:E4"/>
  <sheetViews>
    <sheetView workbookViewId="0">
      <selection activeCell="E2" sqref="E2"/>
    </sheetView>
  </sheetViews>
  <sheetFormatPr defaultRowHeight="14.4"/>
  <cols>
    <col min="1" max="1" width="14.5546875" bestFit="1" customWidth="1"/>
    <col min="2" max="2" width="9.6640625" bestFit="1" customWidth="1"/>
    <col min="4" max="4" width="39" bestFit="1" customWidth="1"/>
    <col min="5" max="5" width="17" bestFit="1" customWidth="1"/>
  </cols>
  <sheetData>
    <row r="1" spans="1:5">
      <c r="A1" s="1" t="s">
        <v>1682</v>
      </c>
      <c r="B1" s="1" t="s">
        <v>2784</v>
      </c>
      <c r="C1" s="1" t="s">
        <v>2785</v>
      </c>
      <c r="D1" s="1" t="s">
        <v>1138</v>
      </c>
      <c r="E1" s="1" t="s">
        <v>2490</v>
      </c>
    </row>
    <row r="2" spans="1:5">
      <c r="A2" s="2">
        <v>50</v>
      </c>
      <c r="B2" s="2" t="s">
        <v>2834</v>
      </c>
      <c r="C2" s="2" t="s">
        <v>2833</v>
      </c>
      <c r="D2" s="2" t="s">
        <v>2838</v>
      </c>
      <c r="E2" s="7">
        <v>344737.86465841811</v>
      </c>
    </row>
    <row r="3" spans="1:5">
      <c r="A3" s="2">
        <v>100</v>
      </c>
      <c r="B3" s="2" t="s">
        <v>2790</v>
      </c>
      <c r="C3" s="2" t="s">
        <v>2791</v>
      </c>
      <c r="D3" s="2" t="s">
        <v>2835</v>
      </c>
      <c r="E3" s="7">
        <v>74569.987158227028</v>
      </c>
    </row>
    <row r="4" spans="1:5">
      <c r="A4" s="2">
        <v>200</v>
      </c>
      <c r="B4" s="2" t="s">
        <v>2836</v>
      </c>
      <c r="C4" s="2" t="s">
        <v>2837</v>
      </c>
      <c r="D4" s="2" t="s">
        <v>2839</v>
      </c>
      <c r="E4" s="7">
        <v>2000000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C4A2-C509-4667-A207-9FC5FAE30B54}">
  <sheetPr codeName="Sheet274"/>
  <dimension ref="A1:D5"/>
  <sheetViews>
    <sheetView workbookViewId="0">
      <selection activeCell="C2" sqref="C2"/>
    </sheetView>
  </sheetViews>
  <sheetFormatPr defaultRowHeight="14.4"/>
  <cols>
    <col min="1" max="1" width="13.44140625" bestFit="1" customWidth="1"/>
    <col min="2" max="2" width="28.5546875" bestFit="1" customWidth="1"/>
    <col min="3" max="3" width="14.5546875" customWidth="1"/>
    <col min="4" max="4" width="28.109375" bestFit="1" customWidth="1"/>
  </cols>
  <sheetData>
    <row r="1" spans="1:4">
      <c r="A1" s="1" t="s">
        <v>2845</v>
      </c>
      <c r="B1" s="1" t="s">
        <v>2846</v>
      </c>
      <c r="C1" s="1" t="s">
        <v>1384</v>
      </c>
      <c r="D1" s="1" t="s">
        <v>1570</v>
      </c>
    </row>
    <row r="2" spans="1:4">
      <c r="A2" s="2" t="s">
        <v>634</v>
      </c>
      <c r="B2" s="2">
        <v>5</v>
      </c>
      <c r="C2" s="7" t="str">
        <f>REPT(A2,B2)</f>
        <v>&amp;&amp;&amp;&amp;&amp;</v>
      </c>
      <c r="D2" s="65" t="s">
        <v>2849</v>
      </c>
    </row>
    <row r="3" spans="1:4">
      <c r="A3" s="2">
        <v>79</v>
      </c>
      <c r="B3" s="2">
        <v>3</v>
      </c>
      <c r="C3" s="7" t="str">
        <f>REPT(A3,B3)</f>
        <v>797979</v>
      </c>
      <c r="D3" s="65" t="s">
        <v>2850</v>
      </c>
    </row>
    <row r="4" spans="1:4">
      <c r="A4" s="2" t="s">
        <v>2847</v>
      </c>
      <c r="B4" s="2">
        <v>8</v>
      </c>
      <c r="C4" s="7" t="str">
        <f>REPT(A4,B4)</f>
        <v>RRRRRRRR</v>
      </c>
      <c r="D4" s="65" t="s">
        <v>2851</v>
      </c>
    </row>
    <row r="5" spans="1:4">
      <c r="A5" s="2" t="s">
        <v>2848</v>
      </c>
      <c r="B5" s="2">
        <v>3</v>
      </c>
      <c r="C5" s="7" t="str">
        <f>REPT(A5,B5)</f>
        <v>ExcelExcelExcel</v>
      </c>
      <c r="D5" s="65" t="s">
        <v>2852</v>
      </c>
    </row>
  </sheetData>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3A68-2E90-4F9A-BC79-82C8C8A1521D}">
  <sheetPr codeName="Sheet275"/>
  <dimension ref="A1:C7"/>
  <sheetViews>
    <sheetView workbookViewId="0">
      <selection activeCell="C2" sqref="C2"/>
    </sheetView>
  </sheetViews>
  <sheetFormatPr defaultRowHeight="14.4"/>
  <cols>
    <col min="1" max="1" width="11.44140625" bestFit="1" customWidth="1"/>
    <col min="2" max="2" width="14.5546875" customWidth="1"/>
    <col min="3" max="3" width="33.5546875" customWidth="1"/>
  </cols>
  <sheetData>
    <row r="1" spans="1:3">
      <c r="A1" s="1" t="s">
        <v>1633</v>
      </c>
      <c r="B1" s="1" t="s">
        <v>2853</v>
      </c>
      <c r="C1" s="1" t="s">
        <v>1738</v>
      </c>
    </row>
    <row r="2" spans="1:3">
      <c r="A2" s="2" t="s">
        <v>2854</v>
      </c>
      <c r="B2" s="2">
        <v>3</v>
      </c>
      <c r="C2" s="7" t="str">
        <f>REPT(A2,B2)</f>
        <v>Hello World!Hello World!Hello World!</v>
      </c>
    </row>
    <row r="3" spans="1:3">
      <c r="A3" s="2" t="s">
        <v>2855</v>
      </c>
      <c r="B3" s="2">
        <v>8</v>
      </c>
      <c r="C3" s="7" t="str">
        <f>REPT("#$",8)</f>
        <v>#$#$#$#$#$#$#$#$</v>
      </c>
    </row>
    <row r="4" spans="1:3">
      <c r="A4" s="2" t="s">
        <v>2856</v>
      </c>
      <c r="B4" s="2">
        <v>4</v>
      </c>
      <c r="C4" s="7" t="str">
        <f>REPT(A4,4)</f>
        <v>ReptReptReptRept</v>
      </c>
    </row>
    <row r="5" spans="1:3">
      <c r="A5" s="2" t="s">
        <v>2857</v>
      </c>
      <c r="B5" s="2">
        <v>5.3</v>
      </c>
      <c r="C5" s="7" t="str">
        <f>REPT("(1_1)",B5)</f>
        <v>(1_1)(1_1)(1_1)(1_1)(1_1)</v>
      </c>
    </row>
    <row r="6" spans="1:3">
      <c r="A6" s="2" t="s">
        <v>651</v>
      </c>
      <c r="B6" s="2">
        <v>0</v>
      </c>
      <c r="C6" s="145" t="str">
        <f>REPT(A6,B6)</f>
        <v/>
      </c>
    </row>
    <row r="7" spans="1:3">
      <c r="A7" s="2" t="s">
        <v>2858</v>
      </c>
      <c r="B7" s="2">
        <v>32767</v>
      </c>
      <c r="C7" s="145" t="e">
        <f>REPT(A7,B7)</f>
        <v>#VALUE!</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3570-E08E-407A-B450-B5E82CCA9986}">
  <sheetPr codeName="Sheet276"/>
  <dimension ref="A1:C7"/>
  <sheetViews>
    <sheetView workbookViewId="0">
      <selection activeCell="C2" sqref="C2"/>
    </sheetView>
  </sheetViews>
  <sheetFormatPr defaultRowHeight="14.4"/>
  <cols>
    <col min="1" max="1" width="16.109375" bestFit="1" customWidth="1"/>
    <col min="2" max="2" width="22.33203125" bestFit="1" customWidth="1"/>
    <col min="3" max="3" width="25.109375" bestFit="1" customWidth="1"/>
  </cols>
  <sheetData>
    <row r="1" spans="1:3">
      <c r="A1" s="1" t="s">
        <v>2867</v>
      </c>
      <c r="B1" s="1" t="s">
        <v>2859</v>
      </c>
      <c r="C1" s="1" t="s">
        <v>2861</v>
      </c>
    </row>
    <row r="2" spans="1:3">
      <c r="A2" s="2" t="s">
        <v>2868</v>
      </c>
      <c r="B2" s="2" t="s">
        <v>2860</v>
      </c>
      <c r="C2" s="7" t="str">
        <f>"LB"&amp;REPT("*",SUM(LEN(B2)-LEN(SUBSTITUTE(B2,{1,2,3,4,5,6,7,8,9,0},))))</f>
        <v>LB*****</v>
      </c>
    </row>
    <row r="3" spans="1:3">
      <c r="A3" s="2" t="s">
        <v>2869</v>
      </c>
      <c r="B3" s="2" t="s">
        <v>2864</v>
      </c>
      <c r="C3" s="7" t="str">
        <f>"LB"&amp;REPT("*",SUM(LEN(B3)-LEN(SUBSTITUTE(B3,{1,2,3,4,5,6,7,8,9,0},))))</f>
        <v>LB*********</v>
      </c>
    </row>
    <row r="4" spans="1:3">
      <c r="A4" s="2" t="s">
        <v>2870</v>
      </c>
      <c r="B4" s="2" t="s">
        <v>2866</v>
      </c>
      <c r="C4" s="7" t="str">
        <f>"LB"&amp;REPT("*",SUM(LEN(B4)-LEN(SUBSTITUTE(B4,{1,2,3,4,5,6,7,8,9,0},))))</f>
        <v>LB****</v>
      </c>
    </row>
    <row r="5" spans="1:3">
      <c r="A5" s="2" t="s">
        <v>2871</v>
      </c>
      <c r="B5" s="2" t="s">
        <v>2862</v>
      </c>
      <c r="C5" s="7" t="str">
        <f>"LB"&amp;REPT("*",SUM(LEN(B5)-LEN(SUBSTITUTE(B5,{1,2,3,4,5,6,7,8,9,0},))))</f>
        <v>LB*******</v>
      </c>
    </row>
    <row r="6" spans="1:3">
      <c r="A6" s="2" t="s">
        <v>2872</v>
      </c>
      <c r="B6" s="2" t="s">
        <v>2865</v>
      </c>
      <c r="C6" s="7" t="str">
        <f>"LB"&amp;REPT("*",SUM(LEN(B6)-LEN(SUBSTITUTE(B6,{1,2,3,4,5,6,7,8,9,0},))))</f>
        <v>LB******</v>
      </c>
    </row>
    <row r="7" spans="1:3">
      <c r="A7" s="2" t="s">
        <v>2873</v>
      </c>
      <c r="B7" s="2" t="s">
        <v>2863</v>
      </c>
      <c r="C7" s="7" t="str">
        <f>"LB"&amp;REPT("*",SUM(LEN(B7)-LEN(SUBSTITUTE(B7,{1,2,3,4,5,6,7,8,9,0},))))</f>
        <v>LB********</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153C-97AC-4FCE-978C-526A0E63CFBD}">
  <sheetPr codeName="Sheet277"/>
  <dimension ref="A1:F13"/>
  <sheetViews>
    <sheetView workbookViewId="0">
      <selection activeCell="C2" sqref="C2"/>
    </sheetView>
  </sheetViews>
  <sheetFormatPr defaultRowHeight="14.4"/>
  <cols>
    <col min="1" max="1" width="9.88671875" bestFit="1" customWidth="1"/>
    <col min="2" max="2" width="17.5546875" bestFit="1" customWidth="1"/>
    <col min="5" max="5" width="13.5546875" bestFit="1" customWidth="1"/>
    <col min="6" max="6" width="17.5546875" bestFit="1" customWidth="1"/>
  </cols>
  <sheetData>
    <row r="1" spans="1:6">
      <c r="A1" s="1" t="s">
        <v>32</v>
      </c>
      <c r="B1" s="1" t="s">
        <v>2874</v>
      </c>
      <c r="E1" s="1" t="s">
        <v>2876</v>
      </c>
      <c r="F1" s="1" t="s">
        <v>2874</v>
      </c>
    </row>
    <row r="2" spans="1:6">
      <c r="A2" s="2" t="s">
        <v>47</v>
      </c>
      <c r="B2" s="2">
        <v>4</v>
      </c>
      <c r="E2" s="2" t="s">
        <v>50</v>
      </c>
      <c r="F2" s="147" t="str">
        <f>REPT(_xlfn.UNICHAR(9733),VLOOKUP(E2,A2:B13,2,0))</f>
        <v>★★★★★</v>
      </c>
    </row>
    <row r="3" spans="1:6">
      <c r="A3" s="2" t="s">
        <v>48</v>
      </c>
      <c r="B3" s="2">
        <v>4</v>
      </c>
      <c r="E3" s="2" t="s">
        <v>51</v>
      </c>
      <c r="F3" s="147" t="str">
        <f>REPT(_xlfn.UNICHAR(9733),VLOOKUP(E3,A3:B14,2,0))</f>
        <v>★★★</v>
      </c>
    </row>
    <row r="4" spans="1:6">
      <c r="A4" s="2" t="s">
        <v>49</v>
      </c>
      <c r="B4" s="2">
        <v>4.5</v>
      </c>
      <c r="E4" s="2" t="s">
        <v>52</v>
      </c>
      <c r="F4" s="147" t="str">
        <f>REPT(_xlfn.UNICHAR(9733),VLOOKUP(E4,A4:B15,2,0))</f>
        <v>★★★★</v>
      </c>
    </row>
    <row r="5" spans="1:6">
      <c r="A5" s="2" t="s">
        <v>50</v>
      </c>
      <c r="B5" s="2">
        <v>5</v>
      </c>
    </row>
    <row r="6" spans="1:6">
      <c r="A6" s="2" t="s">
        <v>51</v>
      </c>
      <c r="B6" s="2">
        <v>3.2</v>
      </c>
    </row>
    <row r="7" spans="1:6">
      <c r="A7" s="2" t="s">
        <v>52</v>
      </c>
      <c r="B7" s="2">
        <v>4.5999999999999996</v>
      </c>
    </row>
    <row r="8" spans="1:6">
      <c r="A8" s="2" t="s">
        <v>53</v>
      </c>
      <c r="B8" s="2">
        <v>5</v>
      </c>
    </row>
    <row r="9" spans="1:6">
      <c r="A9" s="2" t="s">
        <v>54</v>
      </c>
      <c r="B9" s="2">
        <v>5</v>
      </c>
    </row>
    <row r="10" spans="1:6">
      <c r="A10" s="2" t="s">
        <v>55</v>
      </c>
      <c r="B10" s="2">
        <v>2</v>
      </c>
    </row>
    <row r="11" spans="1:6">
      <c r="A11" s="2" t="s">
        <v>56</v>
      </c>
      <c r="B11" s="2">
        <v>4</v>
      </c>
    </row>
    <row r="12" spans="1:6">
      <c r="A12" s="2" t="s">
        <v>57</v>
      </c>
      <c r="B12" s="2">
        <v>3</v>
      </c>
    </row>
    <row r="13" spans="1:6">
      <c r="A13" s="2" t="s">
        <v>58</v>
      </c>
      <c r="B13" s="2">
        <v>5</v>
      </c>
    </row>
  </sheetData>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D9C2-1BC1-44A9-B208-B0BCE4931D13}">
  <sheetPr codeName="Sheet278"/>
  <dimension ref="A1:C8"/>
  <sheetViews>
    <sheetView workbookViewId="0">
      <selection activeCell="C2" sqref="C2"/>
    </sheetView>
  </sheetViews>
  <sheetFormatPr defaultRowHeight="14.4"/>
  <cols>
    <col min="1" max="1" width="11.33203125" bestFit="1" customWidth="1"/>
    <col min="2" max="2" width="8.44140625" bestFit="1" customWidth="1"/>
    <col min="3" max="3" width="21.44140625" bestFit="1" customWidth="1"/>
  </cols>
  <sheetData>
    <row r="1" spans="1:3">
      <c r="A1" s="1" t="s">
        <v>130</v>
      </c>
      <c r="B1" s="1" t="s">
        <v>319</v>
      </c>
      <c r="C1" s="1" t="s">
        <v>2875</v>
      </c>
    </row>
    <row r="2" spans="1:3">
      <c r="A2" s="2" t="s">
        <v>340</v>
      </c>
      <c r="B2" s="2">
        <v>3500</v>
      </c>
      <c r="C2" s="148" t="str">
        <f>REPT(CHAR(110),B2/500)</f>
        <v>nnnnnnn</v>
      </c>
    </row>
    <row r="3" spans="1:3">
      <c r="A3" s="2" t="s">
        <v>342</v>
      </c>
      <c r="B3" s="2">
        <v>2540</v>
      </c>
      <c r="C3" s="148" t="str">
        <f>REPT(CHAR(110),B3/500)</f>
        <v>nnnnn</v>
      </c>
    </row>
    <row r="4" spans="1:3">
      <c r="A4" s="2" t="s">
        <v>346</v>
      </c>
      <c r="B4" s="2">
        <v>1490</v>
      </c>
      <c r="C4" s="148" t="str">
        <f>REPT(CHAR(110),B4/500)</f>
        <v>nn</v>
      </c>
    </row>
    <row r="5" spans="1:3">
      <c r="A5" s="2" t="s">
        <v>343</v>
      </c>
      <c r="B5" s="2">
        <v>1800</v>
      </c>
      <c r="C5" s="148" t="str">
        <f>REPT(CHAR(110),B5/500)</f>
        <v>nnn</v>
      </c>
    </row>
    <row r="6" spans="1:3">
      <c r="A6" s="2" t="s">
        <v>345</v>
      </c>
      <c r="B6" s="2">
        <v>2310</v>
      </c>
      <c r="C6" s="148" t="str">
        <f>REPT(CHAR(110),B6/500)</f>
        <v>nnnn</v>
      </c>
    </row>
    <row r="7" spans="1:3">
      <c r="A7" s="146"/>
    </row>
    <row r="8" spans="1:3">
      <c r="A8" s="146"/>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A81-01B0-4E51-9C34-CDBDE683C0FF}">
  <sheetPr codeName="Sheet279"/>
  <dimension ref="A1:C6"/>
  <sheetViews>
    <sheetView workbookViewId="0"/>
  </sheetViews>
  <sheetFormatPr defaultRowHeight="14.4"/>
  <cols>
    <col min="1" max="1" width="8.88671875" bestFit="1" customWidth="1"/>
    <col min="2" max="2" width="14.44140625" bestFit="1" customWidth="1"/>
    <col min="3" max="3" width="37.109375" bestFit="1" customWidth="1"/>
  </cols>
  <sheetData>
    <row r="1" spans="1:3">
      <c r="A1" s="1" t="s">
        <v>2877</v>
      </c>
      <c r="B1" s="1" t="s">
        <v>2878</v>
      </c>
      <c r="C1" s="1" t="s">
        <v>2879</v>
      </c>
    </row>
    <row r="2" spans="1:3">
      <c r="A2" s="2" t="s">
        <v>131</v>
      </c>
      <c r="B2" s="2">
        <v>54</v>
      </c>
      <c r="C2" s="149" t="str">
        <f>REPT("tttt ",QUOTIENT(B2,5))&amp;REPT("I",MOD(B2,5))</f>
        <v>tttt tttt tttt tttt tttt tttt tttt tttt tttt tttt IIII</v>
      </c>
    </row>
    <row r="3" spans="1:3">
      <c r="A3" s="2" t="s">
        <v>132</v>
      </c>
      <c r="B3" s="2">
        <v>23</v>
      </c>
      <c r="C3" s="149" t="str">
        <f>REPT("tttt ",QUOTIENT(B3,5))&amp;REPT("I",MOD(B3,5))</f>
        <v>tttt tttt tttt tttt III</v>
      </c>
    </row>
    <row r="4" spans="1:3">
      <c r="A4" s="2" t="s">
        <v>133</v>
      </c>
      <c r="B4" s="2">
        <v>18</v>
      </c>
      <c r="C4" s="149" t="str">
        <f>REPT("tttt ",QUOTIENT(B4,5))&amp;REPT("I",MOD(B4,5))</f>
        <v>tttt tttt tttt III</v>
      </c>
    </row>
    <row r="5" spans="1:3">
      <c r="A5" s="2" t="s">
        <v>134</v>
      </c>
      <c r="B5" s="2">
        <v>20</v>
      </c>
      <c r="C5" s="149" t="str">
        <f>REPT("tttt ",QUOTIENT(B5,5))&amp;REPT("I",MOD(B5,5))</f>
        <v xml:space="preserve">tttt tttt tttt tttt </v>
      </c>
    </row>
    <row r="6" spans="1:3">
      <c r="A6" s="2" t="s">
        <v>135</v>
      </c>
      <c r="B6" s="2">
        <v>38</v>
      </c>
      <c r="C6" s="149" t="str">
        <f>REPT("tttt ",QUOTIENT(B6,5))&amp;REPT("I",MOD(B6,5))</f>
        <v>tttt tttt tttt tttt tttt tttt tttt III</v>
      </c>
    </row>
  </sheetData>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D88A-F83A-440D-8B52-C3A07D9D2582}">
  <sheetPr codeName="Sheet280"/>
  <dimension ref="A1:I13"/>
  <sheetViews>
    <sheetView workbookViewId="0">
      <selection activeCell="B13" sqref="B13"/>
    </sheetView>
  </sheetViews>
  <sheetFormatPr defaultRowHeight="14.4"/>
  <cols>
    <col min="1" max="1" width="24.5546875" bestFit="1" customWidth="1"/>
    <col min="2" max="2" width="10.44140625" customWidth="1"/>
  </cols>
  <sheetData>
    <row r="1" spans="1:9">
      <c r="A1" s="374" t="s">
        <v>2888</v>
      </c>
      <c r="B1" s="370"/>
    </row>
    <row r="3" spans="1:9">
      <c r="A3" s="369" t="s">
        <v>1421</v>
      </c>
      <c r="B3" s="369"/>
    </row>
    <row r="4" spans="1:9">
      <c r="A4" s="1" t="s">
        <v>2887</v>
      </c>
      <c r="B4" s="1" t="s">
        <v>1727</v>
      </c>
    </row>
    <row r="5" spans="1:9">
      <c r="A5" s="2" t="s">
        <v>2880</v>
      </c>
      <c r="B5" s="20">
        <v>42551</v>
      </c>
    </row>
    <row r="6" spans="1:9">
      <c r="A6" s="2" t="s">
        <v>2881</v>
      </c>
      <c r="B6" s="20">
        <v>46275</v>
      </c>
    </row>
    <row r="7" spans="1:9">
      <c r="A7" s="2" t="s">
        <v>2882</v>
      </c>
      <c r="B7" s="82">
        <v>0.04</v>
      </c>
      <c r="F7" s="85"/>
      <c r="I7" s="85"/>
    </row>
    <row r="8" spans="1:9">
      <c r="A8" s="2" t="s">
        <v>2883</v>
      </c>
      <c r="B8" s="82">
        <v>0.05</v>
      </c>
    </row>
    <row r="9" spans="1:9">
      <c r="A9" s="2" t="s">
        <v>2884</v>
      </c>
      <c r="B9" s="83">
        <v>100</v>
      </c>
    </row>
    <row r="10" spans="1:9">
      <c r="A10" s="2" t="s">
        <v>2911</v>
      </c>
      <c r="B10" s="2">
        <v>1</v>
      </c>
    </row>
    <row r="11" spans="1:9">
      <c r="A11" s="2" t="s">
        <v>2912</v>
      </c>
      <c r="B11" s="2">
        <v>0</v>
      </c>
    </row>
    <row r="13" spans="1:9">
      <c r="A13" s="1" t="s">
        <v>2889</v>
      </c>
      <c r="B13" s="67">
        <f>PRICE(B5,B6,B7,B8,B9,B10,B11)</f>
        <v>92.146972207349862</v>
      </c>
    </row>
  </sheetData>
  <mergeCells count="2">
    <mergeCell ref="A3:B3"/>
    <mergeCell ref="A1:B1"/>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6905-501B-48C2-A02E-62394C75E9D6}">
  <sheetPr codeName="Sheet281"/>
  <dimension ref="C2:G8"/>
  <sheetViews>
    <sheetView showGridLines="0" workbookViewId="0">
      <selection activeCell="B13" sqref="B13"/>
    </sheetView>
  </sheetViews>
  <sheetFormatPr defaultRowHeight="14.4"/>
  <cols>
    <col min="3" max="3" width="24.5546875" bestFit="1" customWidth="1"/>
    <col min="4" max="4" width="5.5546875" bestFit="1" customWidth="1"/>
    <col min="5" max="5" width="1.5546875" customWidth="1"/>
    <col min="6" max="6" width="18.88671875" bestFit="1" customWidth="1"/>
    <col min="7" max="7" width="5.5546875" bestFit="1" customWidth="1"/>
  </cols>
  <sheetData>
    <row r="2" spans="3:7">
      <c r="C2" s="369" t="s">
        <v>2885</v>
      </c>
      <c r="D2" s="369"/>
      <c r="F2" s="369" t="s">
        <v>2890</v>
      </c>
      <c r="G2" s="369"/>
    </row>
    <row r="3" spans="3:7">
      <c r="C3" s="1" t="s">
        <v>2915</v>
      </c>
      <c r="D3" s="1" t="s">
        <v>1727</v>
      </c>
      <c r="F3" s="1" t="s">
        <v>2914</v>
      </c>
      <c r="G3" s="1" t="s">
        <v>1727</v>
      </c>
    </row>
    <row r="4" spans="3:7">
      <c r="C4" s="2" t="s">
        <v>1283</v>
      </c>
      <c r="D4" s="2">
        <v>1</v>
      </c>
      <c r="F4" s="2" t="s">
        <v>2886</v>
      </c>
      <c r="G4" s="2">
        <v>0</v>
      </c>
    </row>
    <row r="5" spans="3:7">
      <c r="C5" s="2" t="s">
        <v>1282</v>
      </c>
      <c r="D5" s="2">
        <v>2</v>
      </c>
      <c r="F5" s="2" t="s">
        <v>2891</v>
      </c>
      <c r="G5" s="2">
        <v>1</v>
      </c>
    </row>
    <row r="6" spans="3:7">
      <c r="C6" s="2" t="s">
        <v>1281</v>
      </c>
      <c r="D6" s="2">
        <v>4</v>
      </c>
      <c r="F6" s="2" t="s">
        <v>2892</v>
      </c>
      <c r="G6" s="2">
        <v>2</v>
      </c>
    </row>
    <row r="7" spans="3:7">
      <c r="F7" s="2" t="s">
        <v>2893</v>
      </c>
      <c r="G7" s="2">
        <v>3</v>
      </c>
    </row>
    <row r="8" spans="3:7">
      <c r="F8" s="2" t="s">
        <v>2894</v>
      </c>
      <c r="G8" s="2">
        <v>4</v>
      </c>
    </row>
  </sheetData>
  <mergeCells count="2">
    <mergeCell ref="C2:D2"/>
    <mergeCell ref="F2:G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530-2EFE-4F86-B4A8-836C72DE6964}">
  <sheetPr codeName="Sheet282"/>
  <dimension ref="A1:O13"/>
  <sheetViews>
    <sheetView workbookViewId="0">
      <selection activeCell="B13" sqref="B13"/>
    </sheetView>
  </sheetViews>
  <sheetFormatPr defaultRowHeight="14.4"/>
  <cols>
    <col min="1" max="1" width="35" bestFit="1" customWidth="1"/>
    <col min="2" max="2" width="20.5546875" customWidth="1"/>
    <col min="3" max="3" width="10.44140625" bestFit="1" customWidth="1"/>
  </cols>
  <sheetData>
    <row r="1" spans="1:15">
      <c r="A1" s="369" t="s">
        <v>2888</v>
      </c>
      <c r="B1" s="369"/>
      <c r="C1" s="369"/>
    </row>
    <row r="3" spans="1:15">
      <c r="A3" s="369" t="s">
        <v>1421</v>
      </c>
      <c r="B3" s="369"/>
      <c r="C3" s="369"/>
    </row>
    <row r="4" spans="1:15">
      <c r="A4" s="1" t="s">
        <v>2895</v>
      </c>
      <c r="B4" s="1" t="s">
        <v>2902</v>
      </c>
      <c r="C4" s="1" t="s">
        <v>1727</v>
      </c>
    </row>
    <row r="5" spans="1:15">
      <c r="A5" s="2" t="s">
        <v>2880</v>
      </c>
      <c r="B5" s="2" t="s">
        <v>2896</v>
      </c>
      <c r="C5" s="20">
        <v>42804</v>
      </c>
    </row>
    <row r="6" spans="1:15">
      <c r="A6" s="2" t="s">
        <v>2881</v>
      </c>
      <c r="B6" s="2" t="s">
        <v>2897</v>
      </c>
      <c r="C6" s="20">
        <v>44510</v>
      </c>
    </row>
    <row r="7" spans="1:15">
      <c r="A7" s="2" t="s">
        <v>2882</v>
      </c>
      <c r="B7" s="2" t="s">
        <v>1262</v>
      </c>
      <c r="C7" s="15">
        <v>5.5E-2</v>
      </c>
      <c r="O7" s="38"/>
    </row>
    <row r="8" spans="1:15">
      <c r="A8" s="2" t="s">
        <v>2883</v>
      </c>
      <c r="B8" s="2" t="s">
        <v>2900</v>
      </c>
      <c r="C8" s="15">
        <v>6.7500000000000004E-2</v>
      </c>
    </row>
    <row r="9" spans="1:15">
      <c r="A9" s="2" t="s">
        <v>2884</v>
      </c>
      <c r="B9" s="2" t="s">
        <v>2898</v>
      </c>
      <c r="C9" s="83">
        <v>100</v>
      </c>
    </row>
    <row r="10" spans="1:15">
      <c r="A10" s="2" t="s">
        <v>2903</v>
      </c>
      <c r="B10" s="2" t="s">
        <v>2899</v>
      </c>
      <c r="C10" s="2">
        <v>2</v>
      </c>
    </row>
    <row r="11" spans="1:15">
      <c r="A11" s="2" t="s">
        <v>2913</v>
      </c>
      <c r="B11" s="2" t="s">
        <v>2901</v>
      </c>
      <c r="C11" s="2">
        <v>0</v>
      </c>
      <c r="O11">
        <f>PRICE(DATE(2017,3,10),DATE(2021,11,10),5.5%,6.75%,100,2,0)</f>
        <v>95.056374499204253</v>
      </c>
    </row>
    <row r="13" spans="1:15">
      <c r="A13" s="1" t="s">
        <v>2889</v>
      </c>
      <c r="B13" s="67">
        <f>PRICE(C5,C6,C7,C8,C9,C10,C11)</f>
        <v>95.056374499204253</v>
      </c>
    </row>
  </sheetData>
  <mergeCells count="2">
    <mergeCell ref="A1:C1"/>
    <mergeCell ref="A3:C3"/>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4995-6019-4FD1-9735-99E49E0FED2F}">
  <sheetPr codeName="Sheet283"/>
  <dimension ref="A1:C11"/>
  <sheetViews>
    <sheetView workbookViewId="0">
      <selection activeCell="B13" sqref="B13"/>
    </sheetView>
  </sheetViews>
  <sheetFormatPr defaultRowHeight="14.4"/>
  <cols>
    <col min="1" max="1" width="37.6640625" bestFit="1" customWidth="1"/>
    <col min="2" max="2" width="15.88671875" bestFit="1" customWidth="1"/>
    <col min="3" max="3" width="12.88671875" customWidth="1"/>
  </cols>
  <sheetData>
    <row r="1" spans="1:3">
      <c r="A1" s="1" t="s">
        <v>2904</v>
      </c>
      <c r="B1" s="1" t="s">
        <v>2902</v>
      </c>
      <c r="C1" s="1" t="s">
        <v>1727</v>
      </c>
    </row>
    <row r="2" spans="1:3">
      <c r="A2" s="2" t="s">
        <v>2880</v>
      </c>
      <c r="B2" s="2" t="s">
        <v>2896</v>
      </c>
      <c r="C2" s="20">
        <v>40909</v>
      </c>
    </row>
    <row r="3" spans="1:3">
      <c r="A3" s="2" t="s">
        <v>2881</v>
      </c>
      <c r="B3" s="2" t="s">
        <v>2897</v>
      </c>
      <c r="C3" s="20">
        <v>44926</v>
      </c>
    </row>
    <row r="4" spans="1:3">
      <c r="A4" s="2" t="s">
        <v>2905</v>
      </c>
      <c r="B4" s="2" t="s">
        <v>1262</v>
      </c>
      <c r="C4" s="82">
        <v>0.09</v>
      </c>
    </row>
    <row r="5" spans="1:3">
      <c r="A5" s="2" t="s">
        <v>2883</v>
      </c>
      <c r="B5" s="2" t="s">
        <v>2900</v>
      </c>
      <c r="C5" s="15">
        <v>7.4999999999999997E-2</v>
      </c>
    </row>
    <row r="6" spans="1:3">
      <c r="A6" s="2" t="s">
        <v>2884</v>
      </c>
      <c r="B6" s="2" t="s">
        <v>2898</v>
      </c>
      <c r="C6" s="83">
        <v>100</v>
      </c>
    </row>
    <row r="7" spans="1:3">
      <c r="A7" s="2" t="s">
        <v>2906</v>
      </c>
      <c r="B7" s="2" t="s">
        <v>2899</v>
      </c>
      <c r="C7" s="2">
        <v>2</v>
      </c>
    </row>
    <row r="8" spans="1:3">
      <c r="A8" s="2" t="s">
        <v>2913</v>
      </c>
      <c r="B8" s="2" t="s">
        <v>2901</v>
      </c>
      <c r="C8" s="2">
        <v>0</v>
      </c>
    </row>
    <row r="11" spans="1:3">
      <c r="A11" s="1" t="s">
        <v>2907</v>
      </c>
      <c r="B11" s="67">
        <f>PRICE(C2,C3,C4,C5,C6,C7,C8)</f>
        <v>111.09973997586141</v>
      </c>
    </row>
  </sheetData>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1A9C-2D62-4C77-BFA6-8CF0196AAE43}">
  <sheetPr codeName="Sheet284"/>
  <dimension ref="A1:C11"/>
  <sheetViews>
    <sheetView workbookViewId="0">
      <selection activeCell="B13" sqref="B13"/>
    </sheetView>
  </sheetViews>
  <sheetFormatPr defaultRowHeight="14.4"/>
  <cols>
    <col min="1" max="1" width="37.6640625" bestFit="1" customWidth="1"/>
    <col min="2" max="2" width="15.88671875" bestFit="1" customWidth="1"/>
    <col min="3" max="3" width="10.44140625" bestFit="1" customWidth="1"/>
  </cols>
  <sheetData>
    <row r="1" spans="1:3">
      <c r="A1" s="1" t="s">
        <v>2904</v>
      </c>
      <c r="B1" s="1" t="s">
        <v>2902</v>
      </c>
      <c r="C1" s="1" t="s">
        <v>1727</v>
      </c>
    </row>
    <row r="2" spans="1:3">
      <c r="A2" s="2" t="s">
        <v>2880</v>
      </c>
      <c r="B2" s="2" t="s">
        <v>2896</v>
      </c>
      <c r="C2" s="20">
        <v>40179</v>
      </c>
    </row>
    <row r="3" spans="1:3">
      <c r="A3" s="2" t="s">
        <v>2881</v>
      </c>
      <c r="B3" s="2" t="s">
        <v>2897</v>
      </c>
      <c r="C3" s="20">
        <v>44196</v>
      </c>
    </row>
    <row r="4" spans="1:3">
      <c r="A4" s="2" t="s">
        <v>2905</v>
      </c>
      <c r="B4" s="2" t="s">
        <v>1262</v>
      </c>
      <c r="C4" s="82">
        <v>0.04</v>
      </c>
    </row>
    <row r="5" spans="1:3">
      <c r="A5" s="2" t="s">
        <v>2883</v>
      </c>
      <c r="B5" s="2" t="s">
        <v>2900</v>
      </c>
      <c r="C5" s="15">
        <v>6.5000000000000002E-2</v>
      </c>
    </row>
    <row r="6" spans="1:3">
      <c r="A6" s="2" t="s">
        <v>2884</v>
      </c>
      <c r="B6" s="2" t="s">
        <v>2898</v>
      </c>
      <c r="C6" s="83">
        <v>100</v>
      </c>
    </row>
    <row r="7" spans="1:3">
      <c r="A7" s="2" t="s">
        <v>2908</v>
      </c>
      <c r="B7" s="2" t="s">
        <v>2899</v>
      </c>
      <c r="C7" s="2">
        <v>4</v>
      </c>
    </row>
    <row r="8" spans="1:3">
      <c r="A8" s="2" t="s">
        <v>2913</v>
      </c>
      <c r="B8" s="2" t="s">
        <v>2901</v>
      </c>
      <c r="C8" s="2">
        <v>0</v>
      </c>
    </row>
    <row r="11" spans="1:3">
      <c r="A11" s="1" t="s">
        <v>2909</v>
      </c>
      <c r="B11" s="67">
        <f>PRICE(C2,C3,C4,C5,C6,C7,C8)</f>
        <v>80.465289337911159</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682A-D670-440F-824E-8572013C2195}">
  <sheetPr codeName="Sheet285"/>
  <dimension ref="A1:C11"/>
  <sheetViews>
    <sheetView workbookViewId="0">
      <selection activeCell="B13" sqref="B13"/>
    </sheetView>
  </sheetViews>
  <sheetFormatPr defaultRowHeight="14.4"/>
  <cols>
    <col min="1" max="1" width="39.109375" bestFit="1" customWidth="1"/>
    <col min="2" max="2" width="15.88671875" bestFit="1" customWidth="1"/>
    <col min="3" max="3" width="10.44140625" bestFit="1" customWidth="1"/>
  </cols>
  <sheetData>
    <row r="1" spans="1:3">
      <c r="A1" s="1" t="s">
        <v>2904</v>
      </c>
      <c r="B1" s="1" t="s">
        <v>2902</v>
      </c>
      <c r="C1" s="1" t="s">
        <v>1727</v>
      </c>
    </row>
    <row r="2" spans="1:3">
      <c r="A2" s="2" t="s">
        <v>2880</v>
      </c>
      <c r="B2" s="2" t="s">
        <v>2896</v>
      </c>
      <c r="C2" s="150">
        <v>40663</v>
      </c>
    </row>
    <row r="3" spans="1:3">
      <c r="A3" s="2" t="s">
        <v>2881</v>
      </c>
      <c r="B3" s="2" t="s">
        <v>2897</v>
      </c>
      <c r="C3" s="150">
        <v>44196</v>
      </c>
    </row>
    <row r="4" spans="1:3">
      <c r="A4" s="2" t="s">
        <v>2905</v>
      </c>
      <c r="B4" s="2" t="s">
        <v>1262</v>
      </c>
      <c r="C4" s="151">
        <v>0.05</v>
      </c>
    </row>
    <row r="5" spans="1:3">
      <c r="A5" s="2" t="s">
        <v>2883</v>
      </c>
      <c r="B5" s="2" t="s">
        <v>2900</v>
      </c>
      <c r="C5" s="82">
        <v>7.0000000000000007E-2</v>
      </c>
    </row>
    <row r="6" spans="1:3">
      <c r="A6" s="2" t="s">
        <v>2884</v>
      </c>
      <c r="B6" s="2" t="s">
        <v>2898</v>
      </c>
      <c r="C6" s="152">
        <v>100</v>
      </c>
    </row>
    <row r="7" spans="1:3">
      <c r="A7" s="2" t="s">
        <v>2910</v>
      </c>
      <c r="B7" s="2" t="s">
        <v>2899</v>
      </c>
      <c r="C7" s="153">
        <v>2</v>
      </c>
    </row>
    <row r="8" spans="1:3">
      <c r="A8" s="2" t="s">
        <v>2913</v>
      </c>
      <c r="B8" s="2" t="s">
        <v>2901</v>
      </c>
      <c r="C8" s="153">
        <v>0</v>
      </c>
    </row>
    <row r="11" spans="1:3">
      <c r="A11" s="1" t="s">
        <v>2889</v>
      </c>
      <c r="B11" s="67">
        <f>PRICE(C2,C3,C4,C5,C6,C7,C8)</f>
        <v>86.111141988580968</v>
      </c>
    </row>
  </sheetData>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FBCB-EA79-471D-8599-61F1A6EFB297}">
  <sheetPr codeName="Sheet286"/>
  <dimension ref="A1:B11"/>
  <sheetViews>
    <sheetView workbookViewId="0">
      <selection activeCell="A2" sqref="A2"/>
    </sheetView>
  </sheetViews>
  <sheetFormatPr defaultRowHeight="14.4"/>
  <cols>
    <col min="1" max="1" width="35" bestFit="1" customWidth="1"/>
    <col min="2" max="2" width="10.44140625" bestFit="1" customWidth="1"/>
  </cols>
  <sheetData>
    <row r="1" spans="1:2">
      <c r="A1" s="369" t="s">
        <v>1421</v>
      </c>
      <c r="B1" s="369"/>
    </row>
    <row r="2" spans="1:2">
      <c r="A2" s="1" t="s">
        <v>2887</v>
      </c>
      <c r="B2" s="1" t="s">
        <v>1727</v>
      </c>
    </row>
    <row r="3" spans="1:2">
      <c r="A3" s="2" t="s">
        <v>2880</v>
      </c>
      <c r="B3" s="20">
        <v>42014</v>
      </c>
    </row>
    <row r="4" spans="1:2">
      <c r="A4" s="2" t="s">
        <v>2881</v>
      </c>
      <c r="B4" s="20">
        <v>44175</v>
      </c>
    </row>
    <row r="5" spans="1:2">
      <c r="A5" s="2" t="s">
        <v>2882</v>
      </c>
      <c r="B5" s="15">
        <v>4.4999999999999998E-2</v>
      </c>
    </row>
    <row r="6" spans="1:2">
      <c r="A6" s="2" t="s">
        <v>2883</v>
      </c>
      <c r="B6" s="82">
        <v>0.05</v>
      </c>
    </row>
    <row r="7" spans="1:2">
      <c r="A7" s="2" t="s">
        <v>2884</v>
      </c>
      <c r="B7" s="83">
        <v>100</v>
      </c>
    </row>
    <row r="8" spans="1:2">
      <c r="A8" s="2" t="s">
        <v>2911</v>
      </c>
      <c r="B8" s="2">
        <v>1</v>
      </c>
    </row>
    <row r="9" spans="1:2">
      <c r="A9" s="2" t="s">
        <v>2913</v>
      </c>
      <c r="B9" s="2">
        <v>0</v>
      </c>
    </row>
    <row r="11" spans="1:2">
      <c r="A11" s="1" t="s">
        <v>2889</v>
      </c>
      <c r="B11" s="67">
        <v>97.484226845846223</v>
      </c>
    </row>
  </sheetData>
  <mergeCells count="1">
    <mergeCell ref="A1:B1"/>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D44C-237F-4B34-8241-0CA4D6EEE084}">
  <sheetPr codeName="Sheet287"/>
  <dimension ref="A1:B7"/>
  <sheetViews>
    <sheetView workbookViewId="0">
      <selection activeCell="B7" sqref="B7"/>
    </sheetView>
  </sheetViews>
  <sheetFormatPr defaultRowHeight="14.4"/>
  <cols>
    <col min="2" max="2" width="13.109375" customWidth="1"/>
  </cols>
  <sheetData>
    <row r="1" spans="1:2">
      <c r="A1" s="1" t="s">
        <v>33</v>
      </c>
      <c r="B1" s="1" t="s">
        <v>319</v>
      </c>
    </row>
    <row r="2" spans="1:2">
      <c r="A2" s="2">
        <v>2015</v>
      </c>
      <c r="B2" s="53">
        <v>1000000</v>
      </c>
    </row>
    <row r="3" spans="1:2">
      <c r="A3" s="2">
        <v>2016</v>
      </c>
      <c r="B3" s="53">
        <v>1350000</v>
      </c>
    </row>
    <row r="4" spans="1:2">
      <c r="A4" s="2">
        <v>2017</v>
      </c>
      <c r="B4" s="53">
        <v>1700000</v>
      </c>
    </row>
    <row r="5" spans="1:2">
      <c r="A5" s="2">
        <v>2018</v>
      </c>
      <c r="B5" s="53">
        <v>2120000</v>
      </c>
    </row>
    <row r="6" spans="1:2">
      <c r="A6" s="2">
        <v>2019</v>
      </c>
      <c r="B6" s="53">
        <v>2730000</v>
      </c>
    </row>
    <row r="7" spans="1:2">
      <c r="A7" s="2">
        <v>2020</v>
      </c>
      <c r="B7" s="67">
        <f>GROWTH(B2:B6,A2:A6,A7)</f>
        <v>3508766.399840665</v>
      </c>
    </row>
  </sheetData>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EF47F-57C5-449B-A6C5-D37B3F4B8053}">
  <sheetPr codeName="Sheet288"/>
  <dimension ref="A1:B13"/>
  <sheetViews>
    <sheetView workbookViewId="0">
      <selection activeCell="B7" sqref="B7"/>
    </sheetView>
  </sheetViews>
  <sheetFormatPr defaultRowHeight="14.4"/>
  <cols>
    <col min="1" max="2" width="13.33203125" customWidth="1"/>
  </cols>
  <sheetData>
    <row r="1" spans="1:2">
      <c r="A1" s="1" t="s">
        <v>32</v>
      </c>
      <c r="B1" s="1" t="s">
        <v>2917</v>
      </c>
    </row>
    <row r="2" spans="1:2">
      <c r="A2" s="2">
        <v>1</v>
      </c>
      <c r="B2" s="2">
        <v>1200</v>
      </c>
    </row>
    <row r="3" spans="1:2">
      <c r="A3" s="2">
        <v>2</v>
      </c>
      <c r="B3" s="2">
        <v>5000</v>
      </c>
    </row>
    <row r="4" spans="1:2">
      <c r="A4" s="2">
        <v>3</v>
      </c>
      <c r="B4" s="2">
        <v>1000</v>
      </c>
    </row>
    <row r="5" spans="1:2">
      <c r="A5" s="2">
        <v>4</v>
      </c>
      <c r="B5" s="2">
        <v>2500</v>
      </c>
    </row>
    <row r="6" spans="1:2">
      <c r="A6" s="2">
        <v>5</v>
      </c>
      <c r="B6" s="2">
        <v>3000</v>
      </c>
    </row>
    <row r="7" spans="1:2">
      <c r="A7" s="2">
        <v>6</v>
      </c>
      <c r="B7" s="2">
        <v>2800</v>
      </c>
    </row>
    <row r="9" spans="1:2">
      <c r="A9" s="400" t="s">
        <v>2918</v>
      </c>
      <c r="B9" s="368"/>
    </row>
    <row r="10" spans="1:2">
      <c r="A10" s="1" t="s">
        <v>32</v>
      </c>
      <c r="B10" s="1" t="s">
        <v>2917</v>
      </c>
    </row>
    <row r="11" spans="1:2">
      <c r="A11" s="2">
        <v>7</v>
      </c>
      <c r="B11" s="7">
        <f>GROWTH(B2:B7,A2:A7,A11)</f>
        <v>3215.8036673485144</v>
      </c>
    </row>
    <row r="13" spans="1:2" ht="72">
      <c r="A13" s="8" t="s">
        <v>2920</v>
      </c>
      <c r="B13" s="47">
        <f>GROWTH(B2:B7,A2:A7)</f>
        <v>1728.8455981245181</v>
      </c>
    </row>
  </sheetData>
  <mergeCells count="1">
    <mergeCell ref="A9:B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678-E698-4BEA-B8C8-BB8E82F8E7FD}">
  <sheetPr codeName="Sheet289"/>
  <dimension ref="A1:B11"/>
  <sheetViews>
    <sheetView workbookViewId="0">
      <selection activeCell="B7" sqref="B7"/>
    </sheetView>
  </sheetViews>
  <sheetFormatPr defaultRowHeight="14.4"/>
  <cols>
    <col min="2" max="2" width="21.44140625" bestFit="1" customWidth="1"/>
  </cols>
  <sheetData>
    <row r="1" spans="1:2">
      <c r="A1" s="1" t="s">
        <v>108</v>
      </c>
      <c r="B1" s="1" t="s">
        <v>2919</v>
      </c>
    </row>
    <row r="2" spans="1:2">
      <c r="A2" s="2">
        <v>1</v>
      </c>
      <c r="B2" s="2">
        <v>500</v>
      </c>
    </row>
    <row r="3" spans="1:2">
      <c r="A3" s="2">
        <v>2</v>
      </c>
      <c r="B3" s="2">
        <v>700</v>
      </c>
    </row>
    <row r="4" spans="1:2">
      <c r="A4" s="2">
        <v>3</v>
      </c>
      <c r="B4" s="2">
        <v>1000</v>
      </c>
    </row>
    <row r="5" spans="1:2">
      <c r="A5" s="2">
        <v>4</v>
      </c>
      <c r="B5" s="2">
        <v>575</v>
      </c>
    </row>
    <row r="6" spans="1:2">
      <c r="A6" s="2">
        <v>5</v>
      </c>
      <c r="B6" s="2">
        <v>900</v>
      </c>
    </row>
    <row r="7" spans="1:2">
      <c r="A7" s="2">
        <v>6</v>
      </c>
      <c r="B7" s="2">
        <v>1150</v>
      </c>
    </row>
    <row r="8" spans="1:2">
      <c r="A8" s="2">
        <v>7</v>
      </c>
      <c r="B8" s="7">
        <f t="array" ref="B8:B11">GROWTH(B2:B7,A2:A7,A8:A11)</f>
        <v>1191.2970959903655</v>
      </c>
    </row>
    <row r="9" spans="1:2">
      <c r="A9" s="2">
        <v>8</v>
      </c>
      <c r="B9" s="7">
        <v>1349.5348231223693</v>
      </c>
    </row>
    <row r="10" spans="1:2">
      <c r="A10" s="2">
        <v>9</v>
      </c>
      <c r="B10" s="7">
        <v>1528.7909665437926</v>
      </c>
    </row>
    <row r="11" spans="1:2">
      <c r="A11" s="2">
        <v>10</v>
      </c>
      <c r="B11" s="7">
        <v>1731.8573625083686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3DBA-DDB5-4583-91C9-594FAE2DBEC3}">
  <sheetPr codeName="Sheet290"/>
  <dimension ref="A1:B8"/>
  <sheetViews>
    <sheetView workbookViewId="0">
      <selection activeCell="B7" sqref="B7"/>
    </sheetView>
  </sheetViews>
  <sheetFormatPr defaultRowHeight="14.4"/>
  <cols>
    <col min="1" max="1" width="14.33203125" bestFit="1" customWidth="1"/>
    <col min="2" max="2" width="24" bestFit="1" customWidth="1"/>
  </cols>
  <sheetData>
    <row r="1" spans="1:2">
      <c r="A1" s="1" t="s">
        <v>2922</v>
      </c>
      <c r="B1" s="1" t="s">
        <v>2921</v>
      </c>
    </row>
    <row r="2" spans="1:2">
      <c r="A2" s="2">
        <v>5</v>
      </c>
      <c r="B2" s="2">
        <v>275</v>
      </c>
    </row>
    <row r="3" spans="1:2">
      <c r="A3" s="2">
        <v>7</v>
      </c>
      <c r="B3" s="2">
        <v>490</v>
      </c>
    </row>
    <row r="4" spans="1:2">
      <c r="A4" s="2">
        <v>8</v>
      </c>
      <c r="B4" s="2">
        <v>480</v>
      </c>
    </row>
    <row r="5" spans="1:2">
      <c r="A5" s="2">
        <v>4</v>
      </c>
      <c r="B5" s="2">
        <v>280</v>
      </c>
    </row>
    <row r="6" spans="1:2">
      <c r="A6" s="2">
        <v>6</v>
      </c>
      <c r="B6" s="2">
        <v>330</v>
      </c>
    </row>
    <row r="7" spans="1:2">
      <c r="A7" s="2">
        <v>9</v>
      </c>
      <c r="B7" s="2">
        <v>540</v>
      </c>
    </row>
    <row r="8" spans="1:2">
      <c r="A8" s="2">
        <v>11</v>
      </c>
      <c r="B8" s="7">
        <f>ROUND(GROWTH(B2:B7,A2:A7,A8),0)</f>
        <v>765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A988-56B2-4D42-945C-BCE3808DE2A1}">
  <sheetPr codeName="Sheet291"/>
  <dimension ref="A1:E20"/>
  <sheetViews>
    <sheetView zoomScaleNormal="100" workbookViewId="0">
      <selection activeCell="B7" sqref="B7"/>
    </sheetView>
  </sheetViews>
  <sheetFormatPr defaultRowHeight="14.4"/>
  <cols>
    <col min="1" max="1" width="37.88671875" customWidth="1"/>
    <col min="2" max="2" width="21.109375" customWidth="1"/>
    <col min="4" max="4" width="33.44140625" customWidth="1"/>
    <col min="5" max="5" width="41.88671875" customWidth="1"/>
  </cols>
  <sheetData>
    <row r="1" spans="1:5">
      <c r="A1" s="371" t="s">
        <v>1421</v>
      </c>
      <c r="B1" s="373"/>
    </row>
    <row r="2" spans="1:5">
      <c r="A2" s="2" t="s">
        <v>2924</v>
      </c>
      <c r="B2" s="7" t="s">
        <v>2923</v>
      </c>
    </row>
    <row r="3" spans="1:5">
      <c r="A3" s="2" t="s">
        <v>1184</v>
      </c>
      <c r="B3" s="7">
        <v>10</v>
      </c>
    </row>
    <row r="4" spans="1:5">
      <c r="A4" s="2" t="s">
        <v>654</v>
      </c>
      <c r="B4" s="7">
        <v>2</v>
      </c>
    </row>
    <row r="5" spans="1:5">
      <c r="A5" s="14"/>
      <c r="B5" s="6"/>
    </row>
    <row r="6" spans="1:5">
      <c r="A6" s="371" t="s">
        <v>2925</v>
      </c>
      <c r="B6" s="373"/>
    </row>
    <row r="7" spans="1:5">
      <c r="A7" s="1" t="s">
        <v>2928</v>
      </c>
      <c r="B7" s="1" t="s">
        <v>2916</v>
      </c>
    </row>
    <row r="8" spans="1:5">
      <c r="A8" s="2">
        <v>2</v>
      </c>
      <c r="B8" s="7">
        <f>10*2^A8</f>
        <v>40</v>
      </c>
    </row>
    <row r="9" spans="1:5">
      <c r="A9" s="2">
        <v>4</v>
      </c>
      <c r="B9" s="7">
        <f>10*2^A9</f>
        <v>160</v>
      </c>
    </row>
    <row r="10" spans="1:5">
      <c r="A10" s="2">
        <v>6</v>
      </c>
      <c r="B10" s="7">
        <f>10*2^A10</f>
        <v>640</v>
      </c>
    </row>
    <row r="11" spans="1:5">
      <c r="A11" s="2">
        <v>8</v>
      </c>
      <c r="B11" s="7">
        <f>10*2^A11</f>
        <v>2560</v>
      </c>
    </row>
    <row r="12" spans="1:5">
      <c r="A12" s="2">
        <v>10</v>
      </c>
      <c r="B12" s="7">
        <f>10*2^A12</f>
        <v>10240</v>
      </c>
    </row>
    <row r="14" spans="1:5">
      <c r="A14" s="369" t="s">
        <v>2926</v>
      </c>
      <c r="B14" s="369"/>
      <c r="D14" s="369" t="s">
        <v>2927</v>
      </c>
      <c r="E14" s="369"/>
    </row>
    <row r="15" spans="1:5">
      <c r="A15" s="1" t="s">
        <v>2929</v>
      </c>
      <c r="B15" s="1" t="s">
        <v>2930</v>
      </c>
      <c r="D15" s="1" t="s">
        <v>2929</v>
      </c>
      <c r="E15" s="1" t="s">
        <v>2930</v>
      </c>
    </row>
    <row r="16" spans="1:5">
      <c r="A16" s="2">
        <v>12</v>
      </c>
      <c r="B16" s="7">
        <f>$B$3*$B$4^A16</f>
        <v>40960</v>
      </c>
      <c r="D16" s="2">
        <v>12</v>
      </c>
      <c r="E16" s="7">
        <f t="array" ref="E16:E20">GROWTH(B8:B12,A8:A12,D16:D20,TRUE)</f>
        <v>40959.999999999978</v>
      </c>
    </row>
    <row r="17" spans="1:5">
      <c r="A17" s="2">
        <v>14</v>
      </c>
      <c r="B17" s="7">
        <f>$B$3*$B$4^A17</f>
        <v>163840</v>
      </c>
      <c r="D17" s="2">
        <v>14</v>
      </c>
      <c r="E17" s="7">
        <v>163839.99999999994</v>
      </c>
    </row>
    <row r="18" spans="1:5">
      <c r="A18" s="2">
        <v>16</v>
      </c>
      <c r="B18" s="7">
        <f>$B$3*$B$4^A18</f>
        <v>655360</v>
      </c>
      <c r="D18" s="2">
        <v>16</v>
      </c>
      <c r="E18" s="7">
        <v>655359.99999999988</v>
      </c>
    </row>
    <row r="19" spans="1:5">
      <c r="A19" s="2">
        <v>18</v>
      </c>
      <c r="B19" s="7">
        <f>$B$3*$B$4^A19</f>
        <v>2621440</v>
      </c>
      <c r="D19" s="2">
        <v>18</v>
      </c>
      <c r="E19" s="7">
        <v>2621440</v>
      </c>
    </row>
    <row r="20" spans="1:5">
      <c r="A20" s="2">
        <v>20</v>
      </c>
      <c r="B20" s="7">
        <f>$B$3*$B$4^A20</f>
        <v>10485760</v>
      </c>
      <c r="D20" s="2">
        <v>20</v>
      </c>
      <c r="E20" s="7">
        <v>10485760.000000002</v>
      </c>
    </row>
  </sheetData>
  <mergeCells count="4">
    <mergeCell ref="A1:B1"/>
    <mergeCell ref="A6:B6"/>
    <mergeCell ref="A14:B14"/>
    <mergeCell ref="D14:E1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A060-4BB2-4914-84A9-0845BCDFF0D2}">
  <sheetPr codeName="Sheet292"/>
  <dimension ref="A1:B11"/>
  <sheetViews>
    <sheetView workbookViewId="0"/>
  </sheetViews>
  <sheetFormatPr defaultRowHeight="14.4"/>
  <sheetData>
    <row r="1" spans="1:2">
      <c r="A1" s="1" t="s">
        <v>2931</v>
      </c>
      <c r="B1" s="1" t="s">
        <v>2932</v>
      </c>
    </row>
    <row r="2" spans="1:2">
      <c r="A2" s="2">
        <v>1</v>
      </c>
      <c r="B2" s="2">
        <v>6</v>
      </c>
    </row>
    <row r="3" spans="1:2">
      <c r="A3" s="2">
        <v>2</v>
      </c>
      <c r="B3" s="2">
        <v>18</v>
      </c>
    </row>
    <row r="4" spans="1:2">
      <c r="A4" s="2">
        <v>3</v>
      </c>
      <c r="B4" s="2">
        <v>54</v>
      </c>
    </row>
    <row r="5" spans="1:2">
      <c r="A5" s="2">
        <v>4</v>
      </c>
      <c r="B5" s="2">
        <v>162</v>
      </c>
    </row>
    <row r="6" spans="1:2">
      <c r="A6" s="2">
        <v>5</v>
      </c>
      <c r="B6" s="2">
        <v>486</v>
      </c>
    </row>
    <row r="7" spans="1:2">
      <c r="A7" s="2">
        <v>6</v>
      </c>
      <c r="B7" s="7">
        <f t="array" ref="B7:B11">GROWTH(B2:B6,A2:A6,A7:A11)</f>
        <v>1457.9999999999989</v>
      </c>
    </row>
    <row r="8" spans="1:2">
      <c r="A8" s="2">
        <v>7</v>
      </c>
      <c r="B8" s="7">
        <v>4373.9999999999982</v>
      </c>
    </row>
    <row r="9" spans="1:2">
      <c r="A9" s="2">
        <v>8</v>
      </c>
      <c r="B9" s="7">
        <v>13121.999999999985</v>
      </c>
    </row>
    <row r="10" spans="1:2">
      <c r="A10" s="2">
        <v>9</v>
      </c>
      <c r="B10" s="7">
        <v>39365.999999999935</v>
      </c>
    </row>
    <row r="11" spans="1:2">
      <c r="A11" s="2">
        <v>10</v>
      </c>
      <c r="B11" s="7">
        <v>118097.99999999974</v>
      </c>
    </row>
  </sheetData>
  <pageMargins left="0.7" right="0.7" top="0.75" bottom="0.75" header="0.3" footer="0.3"/>
  <pageSetup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55E9-4F35-4F7B-8DBE-88A53FF854A5}">
  <sheetPr codeName="Sheet293"/>
  <dimension ref="A1:F7"/>
  <sheetViews>
    <sheetView workbookViewId="0">
      <selection activeCell="E22" sqref="E22"/>
    </sheetView>
  </sheetViews>
  <sheetFormatPr defaultRowHeight="14.4"/>
  <cols>
    <col min="2" max="2" width="17.5546875" bestFit="1" customWidth="1"/>
    <col min="5" max="5" width="46.44140625" bestFit="1" customWidth="1"/>
    <col min="6" max="6" width="17" bestFit="1" customWidth="1"/>
  </cols>
  <sheetData>
    <row r="1" spans="1:6">
      <c r="A1" s="1" t="s">
        <v>354</v>
      </c>
      <c r="B1" s="1" t="s">
        <v>2933</v>
      </c>
      <c r="E1" s="400" t="s">
        <v>721</v>
      </c>
      <c r="F1" s="368"/>
    </row>
    <row r="2" spans="1:6">
      <c r="A2" s="2" t="s">
        <v>340</v>
      </c>
      <c r="B2" s="2">
        <v>500</v>
      </c>
      <c r="E2" s="1" t="s">
        <v>2283</v>
      </c>
      <c r="F2" s="1" t="s">
        <v>1727</v>
      </c>
    </row>
    <row r="3" spans="1:6">
      <c r="A3" s="2" t="s">
        <v>342</v>
      </c>
      <c r="B3" s="2">
        <v>450</v>
      </c>
      <c r="E3" s="2" t="s">
        <v>2934</v>
      </c>
      <c r="F3" s="2" t="s">
        <v>2935</v>
      </c>
    </row>
    <row r="4" spans="1:6">
      <c r="A4" s="2" t="s">
        <v>341</v>
      </c>
      <c r="B4" s="2">
        <v>0</v>
      </c>
    </row>
    <row r="5" spans="1:6">
      <c r="A5" s="2" t="s">
        <v>343</v>
      </c>
      <c r="B5" s="2">
        <v>0</v>
      </c>
    </row>
    <row r="6" spans="1:6">
      <c r="A6" s="2" t="s">
        <v>346</v>
      </c>
      <c r="B6" s="2">
        <v>550</v>
      </c>
      <c r="E6" s="1" t="s">
        <v>2984</v>
      </c>
      <c r="F6" s="7">
        <f>AVERAGEIF(B2:B7,F3)</f>
        <v>450</v>
      </c>
    </row>
    <row r="7" spans="1:6">
      <c r="A7" s="2" t="s">
        <v>847</v>
      </c>
      <c r="B7" s="2">
        <v>300</v>
      </c>
    </row>
  </sheetData>
  <mergeCells count="1">
    <mergeCell ref="E1:F1"/>
  </mergeCells>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0BD-B21C-4B60-A7B3-746CECAA1482}">
  <sheetPr codeName="Sheet294"/>
  <dimension ref="A1:C18"/>
  <sheetViews>
    <sheetView zoomScaleNormal="100" workbookViewId="0">
      <selection activeCell="E22" sqref="E22"/>
    </sheetView>
  </sheetViews>
  <sheetFormatPr defaultRowHeight="14.4"/>
  <cols>
    <col min="1" max="1" width="49.33203125" bestFit="1" customWidth="1"/>
    <col min="2" max="2" width="12.44140625" customWidth="1"/>
    <col min="3" max="3" width="27.44140625" bestFit="1" customWidth="1"/>
  </cols>
  <sheetData>
    <row r="1" spans="1:3">
      <c r="A1" s="1" t="s">
        <v>1776</v>
      </c>
      <c r="B1" s="1" t="s">
        <v>352</v>
      </c>
      <c r="C1" s="1" t="s">
        <v>2343</v>
      </c>
    </row>
    <row r="2" spans="1:3">
      <c r="A2" s="2" t="s">
        <v>2015</v>
      </c>
      <c r="B2" s="2" t="s">
        <v>2344</v>
      </c>
      <c r="C2" s="53">
        <v>450696</v>
      </c>
    </row>
    <row r="3" spans="1:3">
      <c r="A3" s="2" t="s">
        <v>2016</v>
      </c>
      <c r="B3" s="2" t="s">
        <v>2345</v>
      </c>
      <c r="C3" s="53">
        <v>417335</v>
      </c>
    </row>
    <row r="4" spans="1:3">
      <c r="A4" s="2" t="s">
        <v>2018</v>
      </c>
      <c r="B4" s="2" t="s">
        <v>2346</v>
      </c>
      <c r="C4" s="53">
        <v>394259</v>
      </c>
    </row>
    <row r="5" spans="1:3">
      <c r="A5" s="2" t="s">
        <v>2019</v>
      </c>
      <c r="B5" s="2" t="s">
        <v>2344</v>
      </c>
      <c r="C5" s="53">
        <v>386174</v>
      </c>
    </row>
    <row r="6" spans="1:3">
      <c r="A6" s="2" t="s">
        <v>2017</v>
      </c>
      <c r="B6" s="2" t="s">
        <v>2344</v>
      </c>
      <c r="C6" s="53">
        <v>373128</v>
      </c>
    </row>
    <row r="7" spans="1:3">
      <c r="A7" s="2" t="s">
        <v>2020</v>
      </c>
      <c r="B7" s="2" t="s">
        <v>2347</v>
      </c>
      <c r="C7" s="53">
        <v>367491</v>
      </c>
    </row>
    <row r="8" spans="1:3">
      <c r="A8" s="2" t="s">
        <v>2021</v>
      </c>
      <c r="B8" s="2" t="s">
        <v>2348</v>
      </c>
      <c r="C8" s="53">
        <v>358994</v>
      </c>
    </row>
    <row r="9" spans="1:3">
      <c r="A9" s="2" t="s">
        <v>2023</v>
      </c>
      <c r="B9" s="2" t="s">
        <v>2349</v>
      </c>
      <c r="C9" s="53">
        <v>341090</v>
      </c>
    </row>
    <row r="10" spans="1:3">
      <c r="A10" s="2" t="s">
        <v>2026</v>
      </c>
      <c r="B10" s="2" t="s">
        <v>2345</v>
      </c>
      <c r="C10" s="53">
        <v>340448</v>
      </c>
    </row>
    <row r="11" spans="1:3">
      <c r="A11" s="2" t="s">
        <v>2022</v>
      </c>
      <c r="B11" s="2" t="s">
        <v>2350</v>
      </c>
      <c r="C11" s="53">
        <v>339883</v>
      </c>
    </row>
    <row r="13" spans="1:3">
      <c r="A13" s="400" t="s">
        <v>721</v>
      </c>
      <c r="B13" s="368"/>
    </row>
    <row r="14" spans="1:3">
      <c r="A14" s="1" t="s">
        <v>2283</v>
      </c>
      <c r="B14" s="1" t="s">
        <v>1727</v>
      </c>
    </row>
    <row r="15" spans="1:3">
      <c r="A15" s="2" t="s">
        <v>352</v>
      </c>
      <c r="B15" s="2" t="s">
        <v>2344</v>
      </c>
    </row>
    <row r="18" spans="1:2">
      <c r="A18" s="1" t="s">
        <v>3006</v>
      </c>
      <c r="B18" s="67">
        <f>AVERAGEIF(B2:B11,B15,C2:C11)</f>
        <v>403332.66666666669</v>
      </c>
    </row>
  </sheetData>
  <mergeCells count="1">
    <mergeCell ref="A13:B1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1846D-5EE7-4A48-B4B7-7A84422A53F6}">
  <sheetPr codeName="Sheet295"/>
  <dimension ref="A1:E12"/>
  <sheetViews>
    <sheetView workbookViewId="0">
      <selection activeCell="E22" sqref="E22"/>
    </sheetView>
  </sheetViews>
  <sheetFormatPr defaultRowHeight="14.4"/>
  <cols>
    <col min="1" max="1" width="18.44140625" bestFit="1" customWidth="1"/>
    <col min="2" max="2" width="15.5546875" bestFit="1" customWidth="1"/>
    <col min="4" max="4" width="44.6640625" bestFit="1" customWidth="1"/>
    <col min="5" max="5" width="7.33203125" bestFit="1" customWidth="1"/>
  </cols>
  <sheetData>
    <row r="1" spans="1:5">
      <c r="A1" s="1" t="s">
        <v>2946</v>
      </c>
      <c r="B1" s="1" t="s">
        <v>2945</v>
      </c>
      <c r="D1" s="400" t="s">
        <v>721</v>
      </c>
      <c r="E1" s="368"/>
    </row>
    <row r="2" spans="1:5">
      <c r="A2" s="2" t="s">
        <v>2936</v>
      </c>
      <c r="B2" s="2">
        <v>200</v>
      </c>
      <c r="D2" s="1" t="s">
        <v>2283</v>
      </c>
      <c r="E2" s="1" t="s">
        <v>1727</v>
      </c>
    </row>
    <row r="3" spans="1:5">
      <c r="A3" s="2" t="s">
        <v>2941</v>
      </c>
      <c r="B3" s="2">
        <v>190</v>
      </c>
      <c r="D3" s="2" t="s">
        <v>2949</v>
      </c>
      <c r="E3" s="2" t="s">
        <v>2947</v>
      </c>
    </row>
    <row r="4" spans="1:5">
      <c r="A4" s="2" t="s">
        <v>2044</v>
      </c>
      <c r="B4" s="2">
        <v>150</v>
      </c>
    </row>
    <row r="5" spans="1:5">
      <c r="A5" s="2" t="s">
        <v>2937</v>
      </c>
      <c r="B5" s="2">
        <v>250</v>
      </c>
    </row>
    <row r="6" spans="1:5">
      <c r="A6" s="2" t="s">
        <v>2045</v>
      </c>
      <c r="B6" s="2">
        <v>200</v>
      </c>
      <c r="D6" s="1" t="s">
        <v>2948</v>
      </c>
      <c r="E6" s="7">
        <f>AVERAGEIF(A2:A12,"*oil*",B2:B12)</f>
        <v>140</v>
      </c>
    </row>
    <row r="7" spans="1:5">
      <c r="A7" s="2" t="s">
        <v>2938</v>
      </c>
      <c r="B7" s="2">
        <v>100</v>
      </c>
    </row>
    <row r="8" spans="1:5">
      <c r="A8" s="2" t="s">
        <v>2942</v>
      </c>
      <c r="B8" s="2">
        <v>180</v>
      </c>
    </row>
    <row r="9" spans="1:5">
      <c r="A9" s="2" t="s">
        <v>2943</v>
      </c>
      <c r="B9" s="2">
        <v>170</v>
      </c>
    </row>
    <row r="10" spans="1:5">
      <c r="A10" s="2" t="s">
        <v>2944</v>
      </c>
      <c r="B10" s="2">
        <v>150</v>
      </c>
    </row>
    <row r="11" spans="1:5">
      <c r="A11" s="2" t="s">
        <v>2939</v>
      </c>
      <c r="B11" s="2">
        <v>100</v>
      </c>
    </row>
    <row r="12" spans="1:5">
      <c r="A12" s="2" t="s">
        <v>2940</v>
      </c>
      <c r="B12" s="2">
        <v>50</v>
      </c>
    </row>
  </sheetData>
  <mergeCells count="1">
    <mergeCell ref="D1:E1"/>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843D-4DD8-482C-98B4-C8C6591C5CD7}">
  <sheetPr codeName="Sheet296"/>
  <dimension ref="A1:C18"/>
  <sheetViews>
    <sheetView workbookViewId="0">
      <selection activeCell="E22" sqref="E22"/>
    </sheetView>
  </sheetViews>
  <sheetFormatPr defaultRowHeight="14.4"/>
  <cols>
    <col min="1" max="1" width="49" bestFit="1" customWidth="1"/>
    <col min="2" max="2" width="10.44140625" bestFit="1" customWidth="1"/>
    <col min="3" max="3" width="19.88671875" bestFit="1" customWidth="1"/>
  </cols>
  <sheetData>
    <row r="1" spans="1:3">
      <c r="A1" s="1" t="s">
        <v>0</v>
      </c>
      <c r="B1" s="1" t="s">
        <v>2950</v>
      </c>
      <c r="C1" s="1" t="s">
        <v>2961</v>
      </c>
    </row>
    <row r="2" spans="1:3">
      <c r="A2" s="3" t="s">
        <v>2951</v>
      </c>
      <c r="B2" s="2"/>
      <c r="C2" s="2">
        <v>480</v>
      </c>
    </row>
    <row r="3" spans="1:3">
      <c r="A3" s="3" t="s">
        <v>2952</v>
      </c>
      <c r="B3" s="2" t="s">
        <v>286</v>
      </c>
      <c r="C3" s="2">
        <v>495</v>
      </c>
    </row>
    <row r="4" spans="1:3">
      <c r="A4" s="3" t="s">
        <v>2953</v>
      </c>
      <c r="B4" s="2" t="s">
        <v>286</v>
      </c>
      <c r="C4" s="2">
        <v>478</v>
      </c>
    </row>
    <row r="5" spans="1:3">
      <c r="A5" s="3" t="s">
        <v>2954</v>
      </c>
      <c r="B5" s="2"/>
      <c r="C5" s="2">
        <v>450</v>
      </c>
    </row>
    <row r="6" spans="1:3">
      <c r="A6" s="3" t="s">
        <v>2955</v>
      </c>
      <c r="B6" s="2" t="s">
        <v>286</v>
      </c>
      <c r="C6" s="2">
        <v>453</v>
      </c>
    </row>
    <row r="7" spans="1:3">
      <c r="A7" s="3" t="s">
        <v>2956</v>
      </c>
      <c r="B7" s="2"/>
      <c r="C7" s="2">
        <v>430</v>
      </c>
    </row>
    <row r="8" spans="1:3">
      <c r="A8" s="3" t="s">
        <v>2957</v>
      </c>
      <c r="B8" s="2"/>
      <c r="C8" s="2">
        <v>390</v>
      </c>
    </row>
    <row r="9" spans="1:3">
      <c r="A9" s="3" t="s">
        <v>2958</v>
      </c>
      <c r="B9" s="2" t="s">
        <v>286</v>
      </c>
      <c r="C9" s="2">
        <v>486</v>
      </c>
    </row>
    <row r="10" spans="1:3">
      <c r="A10" s="3" t="s">
        <v>2959</v>
      </c>
      <c r="B10" s="2"/>
      <c r="C10" s="2">
        <v>492</v>
      </c>
    </row>
    <row r="11" spans="1:3">
      <c r="A11" s="3" t="s">
        <v>2960</v>
      </c>
      <c r="B11" s="2" t="s">
        <v>286</v>
      </c>
      <c r="C11" s="2">
        <v>470</v>
      </c>
    </row>
    <row r="13" spans="1:3">
      <c r="A13" s="400" t="s">
        <v>721</v>
      </c>
      <c r="B13" s="368"/>
    </row>
    <row r="14" spans="1:3">
      <c r="A14" s="1" t="s">
        <v>2283</v>
      </c>
      <c r="B14" s="1" t="s">
        <v>1727</v>
      </c>
    </row>
    <row r="15" spans="1:3">
      <c r="A15" s="2" t="s">
        <v>2950</v>
      </c>
      <c r="B15" s="2" t="s">
        <v>286</v>
      </c>
    </row>
    <row r="18" spans="1:2">
      <c r="A18" s="1" t="s">
        <v>2985</v>
      </c>
      <c r="B18" s="7">
        <f>AVERAGEIF(B2:B11, "&lt;&gt;",C2:C11)</f>
        <v>476.4</v>
      </c>
    </row>
  </sheetData>
  <mergeCells count="1">
    <mergeCell ref="A13:B13"/>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01A4-8120-4C5F-B045-07CC9A05A3C9}">
  <sheetPr codeName="Sheet297"/>
  <dimension ref="A1:G16"/>
  <sheetViews>
    <sheetView workbookViewId="0">
      <selection activeCell="E22" sqref="E22"/>
    </sheetView>
  </sheetViews>
  <sheetFormatPr defaultRowHeight="14.4"/>
  <cols>
    <col min="1" max="1" width="17" bestFit="1" customWidth="1"/>
    <col min="2" max="2" width="5.109375" bestFit="1" customWidth="1"/>
    <col min="3" max="3" width="14.109375" bestFit="1" customWidth="1"/>
    <col min="6" max="6" width="43.44140625" bestFit="1" customWidth="1"/>
    <col min="7" max="7" width="8.5546875" customWidth="1"/>
  </cols>
  <sheetData>
    <row r="1" spans="1:7">
      <c r="A1" s="1" t="s">
        <v>2987</v>
      </c>
      <c r="B1" s="1" t="s">
        <v>352</v>
      </c>
      <c r="C1" s="1" t="s">
        <v>2962</v>
      </c>
      <c r="F1" s="400" t="s">
        <v>721</v>
      </c>
      <c r="G1" s="368"/>
    </row>
    <row r="2" spans="1:7">
      <c r="A2" s="3" t="s">
        <v>2963</v>
      </c>
      <c r="B2" s="2" t="s">
        <v>2978</v>
      </c>
      <c r="C2" s="2">
        <v>69</v>
      </c>
      <c r="F2" s="1" t="s">
        <v>2283</v>
      </c>
      <c r="G2" s="1" t="s">
        <v>1727</v>
      </c>
    </row>
    <row r="3" spans="1:7">
      <c r="A3" s="3" t="s">
        <v>2964</v>
      </c>
      <c r="B3" s="2" t="s">
        <v>2981</v>
      </c>
      <c r="C3" s="2">
        <v>77</v>
      </c>
      <c r="F3" s="401" t="s">
        <v>352</v>
      </c>
      <c r="G3" s="2" t="s">
        <v>2981</v>
      </c>
    </row>
    <row r="4" spans="1:7">
      <c r="A4" s="3" t="s">
        <v>2965</v>
      </c>
      <c r="B4" s="2" t="s">
        <v>2344</v>
      </c>
      <c r="C4" s="2">
        <v>60</v>
      </c>
      <c r="F4" s="401"/>
      <c r="G4" s="2" t="s">
        <v>2345</v>
      </c>
    </row>
    <row r="5" spans="1:7">
      <c r="A5" s="3" t="s">
        <v>2966</v>
      </c>
      <c r="B5" s="2" t="s">
        <v>2979</v>
      </c>
      <c r="C5" s="2">
        <v>55</v>
      </c>
    </row>
    <row r="6" spans="1:7">
      <c r="A6" s="3" t="s">
        <v>2967</v>
      </c>
      <c r="B6" s="2" t="s">
        <v>2980</v>
      </c>
      <c r="C6" s="2">
        <v>59</v>
      </c>
    </row>
    <row r="7" spans="1:7">
      <c r="A7" s="3" t="s">
        <v>2968</v>
      </c>
      <c r="B7" s="2" t="s">
        <v>2981</v>
      </c>
      <c r="C7" s="2">
        <v>63</v>
      </c>
      <c r="F7" s="1" t="s">
        <v>2986</v>
      </c>
      <c r="G7" s="7">
        <f>AVERAGE(AVERAGEIF(B2:B16,G3,C2:C16),AVERAGEIF(B2:B16,G4,C2:C16))</f>
        <v>67.208333333333329</v>
      </c>
    </row>
    <row r="8" spans="1:7">
      <c r="A8" s="3" t="s">
        <v>2969</v>
      </c>
      <c r="B8" s="2" t="s">
        <v>2350</v>
      </c>
      <c r="C8" s="2">
        <v>68</v>
      </c>
    </row>
    <row r="9" spans="1:7">
      <c r="A9" s="3" t="s">
        <v>2970</v>
      </c>
      <c r="B9" s="2" t="s">
        <v>2981</v>
      </c>
      <c r="C9" s="2">
        <v>70</v>
      </c>
    </row>
    <row r="10" spans="1:7">
      <c r="A10" s="3" t="s">
        <v>2971</v>
      </c>
      <c r="B10" s="2" t="s">
        <v>2982</v>
      </c>
      <c r="C10" s="2">
        <v>72</v>
      </c>
    </row>
    <row r="11" spans="1:7">
      <c r="A11" s="3" t="s">
        <v>2972</v>
      </c>
      <c r="B11" s="2" t="s">
        <v>2345</v>
      </c>
      <c r="C11" s="2">
        <v>80</v>
      </c>
    </row>
    <row r="12" spans="1:7">
      <c r="A12" s="3" t="s">
        <v>2973</v>
      </c>
      <c r="B12" s="2" t="s">
        <v>2345</v>
      </c>
      <c r="C12" s="2">
        <v>61</v>
      </c>
    </row>
    <row r="13" spans="1:7">
      <c r="A13" s="3" t="s">
        <v>2974</v>
      </c>
      <c r="B13" s="2" t="s">
        <v>2347</v>
      </c>
      <c r="C13" s="2">
        <v>54</v>
      </c>
    </row>
    <row r="14" spans="1:7">
      <c r="A14" s="3" t="s">
        <v>2975</v>
      </c>
      <c r="B14" s="2" t="s">
        <v>2345</v>
      </c>
      <c r="C14" s="2">
        <v>50</v>
      </c>
    </row>
    <row r="15" spans="1:7">
      <c r="A15" s="3" t="s">
        <v>2976</v>
      </c>
      <c r="B15" s="2" t="s">
        <v>2983</v>
      </c>
      <c r="C15" s="2">
        <v>65</v>
      </c>
    </row>
    <row r="16" spans="1:7">
      <c r="A16" s="3" t="s">
        <v>2977</v>
      </c>
      <c r="B16" s="2" t="s">
        <v>2981</v>
      </c>
      <c r="C16" s="2">
        <v>73</v>
      </c>
    </row>
  </sheetData>
  <mergeCells count="2">
    <mergeCell ref="F1:G1"/>
    <mergeCell ref="F3:F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5578-17CF-4B76-90C1-9E6C58A8AA80}">
  <sheetPr codeName="Sheet298"/>
  <dimension ref="A1:G11"/>
  <sheetViews>
    <sheetView workbookViewId="0">
      <selection activeCell="E22" sqref="E22"/>
    </sheetView>
  </sheetViews>
  <sheetFormatPr defaultRowHeight="14.4"/>
  <cols>
    <col min="1" max="1" width="7.109375" bestFit="1" customWidth="1"/>
    <col min="2" max="2" width="12.5546875" bestFit="1" customWidth="1"/>
    <col min="3" max="3" width="15.109375" bestFit="1" customWidth="1"/>
    <col min="6" max="6" width="49" bestFit="1" customWidth="1"/>
    <col min="7" max="7" width="9.44140625" bestFit="1" customWidth="1"/>
  </cols>
  <sheetData>
    <row r="1" spans="1:7">
      <c r="A1" s="1" t="s">
        <v>130</v>
      </c>
      <c r="B1" s="1" t="s">
        <v>2988</v>
      </c>
      <c r="C1" s="1" t="s">
        <v>2989</v>
      </c>
      <c r="F1" s="400" t="s">
        <v>721</v>
      </c>
      <c r="G1" s="368"/>
    </row>
    <row r="2" spans="1:7">
      <c r="A2" s="2" t="s">
        <v>131</v>
      </c>
      <c r="B2" s="20">
        <v>44571</v>
      </c>
      <c r="C2" s="2">
        <v>1000</v>
      </c>
      <c r="F2" s="1" t="s">
        <v>2283</v>
      </c>
      <c r="G2" s="1" t="s">
        <v>1727</v>
      </c>
    </row>
    <row r="3" spans="1:7">
      <c r="A3" s="2" t="s">
        <v>132</v>
      </c>
      <c r="B3" s="20">
        <v>44578</v>
      </c>
      <c r="C3" s="2">
        <v>1500</v>
      </c>
      <c r="F3" s="2" t="s">
        <v>2990</v>
      </c>
      <c r="G3" s="2" t="s">
        <v>2991</v>
      </c>
    </row>
    <row r="4" spans="1:7">
      <c r="A4" s="2" t="s">
        <v>133</v>
      </c>
      <c r="B4" s="20">
        <v>44613</v>
      </c>
      <c r="C4" s="2">
        <v>1800</v>
      </c>
    </row>
    <row r="5" spans="1:7">
      <c r="A5" s="2" t="s">
        <v>134</v>
      </c>
      <c r="B5" s="20">
        <v>44666</v>
      </c>
      <c r="C5" s="2">
        <v>2000</v>
      </c>
    </row>
    <row r="6" spans="1:7">
      <c r="A6" s="2" t="s">
        <v>135</v>
      </c>
      <c r="B6" s="20">
        <v>44630</v>
      </c>
      <c r="C6" s="2">
        <v>2100</v>
      </c>
      <c r="F6" s="1" t="s">
        <v>2992</v>
      </c>
      <c r="G6" s="7">
        <f>AVERAGEIF(B2:B11,"&gt;4/1/2022",C2:C11)</f>
        <v>1816</v>
      </c>
    </row>
    <row r="7" spans="1:7">
      <c r="A7" s="2" t="s">
        <v>211</v>
      </c>
      <c r="B7" s="20">
        <v>44599</v>
      </c>
      <c r="C7" s="2">
        <v>2500</v>
      </c>
    </row>
    <row r="8" spans="1:7">
      <c r="A8" s="2" t="s">
        <v>212</v>
      </c>
      <c r="B8" s="20">
        <v>44677</v>
      </c>
      <c r="C8" s="2">
        <v>900</v>
      </c>
    </row>
    <row r="9" spans="1:7">
      <c r="A9" s="2" t="s">
        <v>213</v>
      </c>
      <c r="B9" s="20">
        <v>44683</v>
      </c>
      <c r="C9" s="2">
        <v>1170</v>
      </c>
    </row>
    <row r="10" spans="1:7">
      <c r="A10" s="2" t="s">
        <v>214</v>
      </c>
      <c r="B10" s="20">
        <v>44700</v>
      </c>
      <c r="C10" s="2">
        <v>2300</v>
      </c>
    </row>
    <row r="11" spans="1:7">
      <c r="A11" s="2" t="s">
        <v>215</v>
      </c>
      <c r="B11" s="20">
        <v>44742</v>
      </c>
      <c r="C11" s="2">
        <v>2710</v>
      </c>
    </row>
  </sheetData>
  <mergeCells count="1">
    <mergeCell ref="F1:G1"/>
  </mergeCell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2AD3-EB53-4442-90FE-A83934470126}">
  <sheetPr codeName="Sheet299"/>
  <dimension ref="A1:G11"/>
  <sheetViews>
    <sheetView workbookViewId="0"/>
  </sheetViews>
  <sheetFormatPr defaultRowHeight="14.4"/>
  <cols>
    <col min="1" max="1" width="18.5546875" bestFit="1" customWidth="1"/>
    <col min="2" max="2" width="3.88671875" bestFit="1" customWidth="1"/>
    <col min="3" max="3" width="15.109375" bestFit="1" customWidth="1"/>
    <col min="6" max="6" width="44.33203125" bestFit="1" customWidth="1"/>
    <col min="7" max="7" width="9.44140625" bestFit="1" customWidth="1"/>
  </cols>
  <sheetData>
    <row r="1" spans="1:7">
      <c r="A1" s="1" t="s">
        <v>832</v>
      </c>
      <c r="B1" s="1" t="s">
        <v>899</v>
      </c>
      <c r="C1" s="1" t="s">
        <v>2993</v>
      </c>
      <c r="F1" s="400" t="s">
        <v>721</v>
      </c>
      <c r="G1" s="368"/>
    </row>
    <row r="2" spans="1:7">
      <c r="A2" s="3" t="s">
        <v>2994</v>
      </c>
      <c r="B2" s="2">
        <v>20</v>
      </c>
      <c r="C2" s="2">
        <v>100</v>
      </c>
      <c r="F2" s="1" t="s">
        <v>2283</v>
      </c>
      <c r="G2" s="1" t="s">
        <v>1727</v>
      </c>
    </row>
    <row r="3" spans="1:7">
      <c r="A3" s="3" t="s">
        <v>2995</v>
      </c>
      <c r="B3" s="2">
        <v>22</v>
      </c>
      <c r="C3" s="2">
        <v>150</v>
      </c>
      <c r="F3" s="2" t="s">
        <v>3004</v>
      </c>
      <c r="G3" s="2">
        <v>25</v>
      </c>
    </row>
    <row r="4" spans="1:7">
      <c r="A4" s="3" t="s">
        <v>2996</v>
      </c>
      <c r="B4" s="2">
        <v>26</v>
      </c>
      <c r="C4" s="2">
        <v>200</v>
      </c>
    </row>
    <row r="5" spans="1:7">
      <c r="A5" s="3" t="s">
        <v>2997</v>
      </c>
      <c r="B5" s="2">
        <v>25</v>
      </c>
      <c r="C5" s="2">
        <v>120</v>
      </c>
    </row>
    <row r="6" spans="1:7">
      <c r="A6" s="3" t="s">
        <v>2998</v>
      </c>
      <c r="B6" s="2">
        <v>21</v>
      </c>
      <c r="C6" s="2">
        <v>90</v>
      </c>
      <c r="F6" s="1" t="s">
        <v>3005</v>
      </c>
      <c r="G6" s="7">
        <f>AVERAGEIF(B2:B11,"&gt;="&amp;G3,C2:C11)</f>
        <v>244</v>
      </c>
    </row>
    <row r="7" spans="1:7">
      <c r="A7" s="3" t="s">
        <v>2999</v>
      </c>
      <c r="B7" s="2">
        <v>27</v>
      </c>
      <c r="C7" s="2">
        <v>250</v>
      </c>
    </row>
    <row r="8" spans="1:7">
      <c r="A8" s="3" t="s">
        <v>3000</v>
      </c>
      <c r="B8" s="2">
        <v>28</v>
      </c>
      <c r="C8" s="2">
        <v>300</v>
      </c>
    </row>
    <row r="9" spans="1:7">
      <c r="A9" s="3" t="s">
        <v>3001</v>
      </c>
      <c r="B9" s="2">
        <v>24</v>
      </c>
      <c r="C9" s="2">
        <v>150</v>
      </c>
    </row>
    <row r="10" spans="1:7">
      <c r="A10" s="3" t="s">
        <v>3002</v>
      </c>
      <c r="B10" s="2">
        <v>29</v>
      </c>
      <c r="C10" s="2">
        <v>350</v>
      </c>
    </row>
    <row r="11" spans="1:7">
      <c r="A11" s="3" t="s">
        <v>3003</v>
      </c>
      <c r="B11" s="2">
        <v>23</v>
      </c>
      <c r="C11" s="2">
        <v>155</v>
      </c>
    </row>
  </sheetData>
  <mergeCells count="1">
    <mergeCell ref="F1:G1"/>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13BB-2BBC-447D-B06B-DFCC3743D249}">
  <sheetPr codeName="Sheet300"/>
  <dimension ref="A1:D10"/>
  <sheetViews>
    <sheetView workbookViewId="0">
      <selection activeCell="B10" sqref="B10"/>
    </sheetView>
  </sheetViews>
  <sheetFormatPr defaultRowHeight="14.4"/>
  <cols>
    <col min="1" max="1" width="29.5546875" bestFit="1" customWidth="1"/>
    <col min="2" max="2" width="9.88671875" customWidth="1"/>
  </cols>
  <sheetData>
    <row r="1" spans="1:4">
      <c r="A1" s="369" t="s">
        <v>3007</v>
      </c>
      <c r="B1" s="369"/>
    </row>
    <row r="3" spans="1:4">
      <c r="A3" s="369" t="s">
        <v>1421</v>
      </c>
      <c r="B3" s="369"/>
      <c r="D3" s="154"/>
    </row>
    <row r="4" spans="1:4">
      <c r="A4" s="1" t="s">
        <v>2887</v>
      </c>
      <c r="B4" s="1" t="s">
        <v>1727</v>
      </c>
      <c r="D4" s="143"/>
    </row>
    <row r="5" spans="1:4">
      <c r="A5" s="2" t="s">
        <v>1252</v>
      </c>
      <c r="B5" s="15">
        <v>0.09</v>
      </c>
      <c r="D5" s="154"/>
    </row>
    <row r="6" spans="1:4">
      <c r="A6" s="2" t="s">
        <v>3008</v>
      </c>
      <c r="B6" s="53">
        <v>-4000</v>
      </c>
    </row>
    <row r="7" spans="1:4">
      <c r="A7" s="2" t="s">
        <v>1259</v>
      </c>
      <c r="B7" s="53">
        <v>20000</v>
      </c>
    </row>
    <row r="10" spans="1:4">
      <c r="A10" s="1" t="s">
        <v>3009</v>
      </c>
      <c r="B10" s="7">
        <f>NPER(B5,B6,B7)</f>
        <v>6.9372590221416148</v>
      </c>
    </row>
  </sheetData>
  <mergeCells count="2">
    <mergeCell ref="A1:B1"/>
    <mergeCell ref="A3:B3"/>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0D4B-C71A-4B58-BA69-9B179B500CB0}">
  <sheetPr codeName="Sheet301"/>
  <dimension ref="B2:C5"/>
  <sheetViews>
    <sheetView workbookViewId="0">
      <selection activeCell="B10" sqref="B10"/>
    </sheetView>
  </sheetViews>
  <sheetFormatPr defaultRowHeight="14.4"/>
  <cols>
    <col min="2" max="2" width="19.44140625" bestFit="1" customWidth="1"/>
    <col min="3" max="3" width="21.109375" bestFit="1" customWidth="1"/>
  </cols>
  <sheetData>
    <row r="2" spans="2:3">
      <c r="B2" s="1" t="s">
        <v>3013</v>
      </c>
      <c r="C2" s="1" t="s">
        <v>3010</v>
      </c>
    </row>
    <row r="3" spans="2:3">
      <c r="B3" s="3" t="s">
        <v>3011</v>
      </c>
      <c r="C3" s="7" t="s">
        <v>1288</v>
      </c>
    </row>
    <row r="4" spans="2:3">
      <c r="B4" s="3" t="s">
        <v>3012</v>
      </c>
      <c r="C4" s="7" t="s">
        <v>1289</v>
      </c>
    </row>
    <row r="5" spans="2:3">
      <c r="B5" s="3" t="s">
        <v>3014</v>
      </c>
      <c r="C5" s="7" t="s">
        <v>1290</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AAE-E4D9-4CAE-8F2C-45D85853F817}">
  <sheetPr codeName="Sheet302"/>
  <dimension ref="A1:C11"/>
  <sheetViews>
    <sheetView workbookViewId="0">
      <selection activeCell="B10" sqref="B10"/>
    </sheetView>
  </sheetViews>
  <sheetFormatPr defaultRowHeight="14.4"/>
  <cols>
    <col min="1" max="1" width="34.109375" bestFit="1" customWidth="1"/>
    <col min="2" max="2" width="15.44140625" bestFit="1" customWidth="1"/>
    <col min="3" max="3" width="10.88671875" bestFit="1" customWidth="1"/>
  </cols>
  <sheetData>
    <row r="1" spans="1:3">
      <c r="A1" s="369" t="s">
        <v>3015</v>
      </c>
      <c r="B1" s="369"/>
      <c r="C1" s="369"/>
    </row>
    <row r="3" spans="1:3">
      <c r="A3" s="369" t="s">
        <v>1421</v>
      </c>
      <c r="B3" s="369"/>
      <c r="C3" s="369"/>
    </row>
    <row r="4" spans="1:3">
      <c r="A4" s="1" t="s">
        <v>622</v>
      </c>
      <c r="B4" s="1" t="s">
        <v>3016</v>
      </c>
      <c r="C4" s="1" t="s">
        <v>1727</v>
      </c>
    </row>
    <row r="5" spans="1:3">
      <c r="A5" s="2" t="s">
        <v>1252</v>
      </c>
      <c r="B5" s="2" t="s">
        <v>1262</v>
      </c>
      <c r="C5" s="82">
        <v>7.0000000000000007E-2</v>
      </c>
    </row>
    <row r="6" spans="1:3">
      <c r="A6" s="2" t="s">
        <v>3021</v>
      </c>
      <c r="B6" s="2" t="s">
        <v>3019</v>
      </c>
      <c r="C6" s="53">
        <v>-4000</v>
      </c>
    </row>
    <row r="7" spans="1:3">
      <c r="A7" s="2" t="s">
        <v>3017</v>
      </c>
      <c r="B7" s="2" t="s">
        <v>1264</v>
      </c>
      <c r="C7" s="53">
        <v>-15000</v>
      </c>
    </row>
    <row r="8" spans="1:3">
      <c r="A8" s="2" t="s">
        <v>1260</v>
      </c>
      <c r="B8" s="2" t="s">
        <v>1265</v>
      </c>
      <c r="C8" s="53">
        <v>400000</v>
      </c>
    </row>
    <row r="9" spans="1:3">
      <c r="A9" s="2" t="s">
        <v>3018</v>
      </c>
      <c r="B9" s="2" t="s">
        <v>1266</v>
      </c>
      <c r="C9" s="2">
        <v>0</v>
      </c>
    </row>
    <row r="11" spans="1:3">
      <c r="A11" s="1" t="s">
        <v>3020</v>
      </c>
      <c r="B11" s="7">
        <f>NPER(C5/12,C6,C7,C8,C9)</f>
        <v>75.286132206687881</v>
      </c>
    </row>
  </sheetData>
  <mergeCells count="2">
    <mergeCell ref="A3:C3"/>
    <mergeCell ref="A1:C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A9CCB-F005-4F9E-B663-AD6406897D56}">
  <sheetPr codeName="Sheet303"/>
  <dimension ref="A1:C10"/>
  <sheetViews>
    <sheetView workbookViewId="0">
      <selection activeCell="B10" sqref="B10"/>
    </sheetView>
  </sheetViews>
  <sheetFormatPr defaultRowHeight="14.4"/>
  <cols>
    <col min="1" max="1" width="34.109375" bestFit="1" customWidth="1"/>
    <col min="2" max="2" width="15.44140625" bestFit="1" customWidth="1"/>
    <col min="3" max="3" width="10.88671875" bestFit="1" customWidth="1"/>
  </cols>
  <sheetData>
    <row r="1" spans="1:3">
      <c r="A1" s="369" t="s">
        <v>3007</v>
      </c>
      <c r="B1" s="369"/>
      <c r="C1" s="369"/>
    </row>
    <row r="3" spans="1:3">
      <c r="A3" s="369" t="s">
        <v>1421</v>
      </c>
      <c r="B3" s="369"/>
      <c r="C3" s="369"/>
    </row>
    <row r="4" spans="1:3">
      <c r="A4" s="1" t="s">
        <v>622</v>
      </c>
      <c r="B4" s="1" t="s">
        <v>3016</v>
      </c>
      <c r="C4" s="1" t="s">
        <v>1727</v>
      </c>
    </row>
    <row r="5" spans="1:3">
      <c r="A5" s="2" t="s">
        <v>1252</v>
      </c>
      <c r="B5" s="2" t="s">
        <v>1262</v>
      </c>
      <c r="C5" s="82">
        <v>0.05</v>
      </c>
    </row>
    <row r="6" spans="1:3">
      <c r="A6" s="2" t="s">
        <v>3022</v>
      </c>
      <c r="B6" s="2" t="s">
        <v>3019</v>
      </c>
      <c r="C6" s="53">
        <v>-1000</v>
      </c>
    </row>
    <row r="7" spans="1:3">
      <c r="A7" s="2" t="s">
        <v>1259</v>
      </c>
      <c r="B7" s="2" t="s">
        <v>1264</v>
      </c>
      <c r="C7" s="53">
        <v>20000</v>
      </c>
    </row>
    <row r="8" spans="1:3">
      <c r="A8" s="2" t="s">
        <v>3018</v>
      </c>
      <c r="B8" s="2" t="s">
        <v>1266</v>
      </c>
      <c r="C8" s="2">
        <v>1</v>
      </c>
    </row>
    <row r="10" spans="1:3">
      <c r="A10" s="1" t="s">
        <v>3020</v>
      </c>
      <c r="B10" s="7">
        <f>NPER(C5/12,C6,C7,,C8)</f>
        <v>20.835502770657079</v>
      </c>
    </row>
  </sheetData>
  <mergeCells count="2">
    <mergeCell ref="A3:C3"/>
    <mergeCell ref="A1:C1"/>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EB63-4D2C-4A34-86A2-B9369DF17084}">
  <sheetPr codeName="Sheet304"/>
  <dimension ref="C1:I12"/>
  <sheetViews>
    <sheetView workbookViewId="0">
      <selection activeCell="B10" sqref="B10"/>
    </sheetView>
  </sheetViews>
  <sheetFormatPr defaultRowHeight="14.4"/>
  <cols>
    <col min="3" max="3" width="32.88671875" bestFit="1" customWidth="1"/>
    <col min="4" max="4" width="16.33203125" customWidth="1"/>
    <col min="5" max="5" width="10.5546875" customWidth="1"/>
    <col min="7" max="7" width="29.88671875" bestFit="1" customWidth="1"/>
    <col min="8" max="8" width="21.109375" bestFit="1" customWidth="1"/>
  </cols>
  <sheetData>
    <row r="1" spans="3:9" ht="15" thickBot="1"/>
    <row r="2" spans="3:9" ht="15" thickBot="1">
      <c r="C2" s="407" t="s">
        <v>3023</v>
      </c>
      <c r="D2" s="408"/>
      <c r="E2" s="408"/>
      <c r="F2" s="408"/>
      <c r="G2" s="408"/>
      <c r="H2" s="408"/>
      <c r="I2" s="409"/>
    </row>
    <row r="3" spans="3:9" ht="15" thickBot="1">
      <c r="C3" s="155"/>
      <c r="G3" s="404" t="s">
        <v>757</v>
      </c>
      <c r="H3" s="405"/>
      <c r="I3" s="406"/>
    </row>
    <row r="4" spans="3:9" ht="15" thickBot="1">
      <c r="C4" s="162" t="s">
        <v>622</v>
      </c>
      <c r="D4" s="172" t="s">
        <v>3016</v>
      </c>
      <c r="E4" s="163" t="s">
        <v>1727</v>
      </c>
      <c r="G4" s="162" t="s">
        <v>3018</v>
      </c>
      <c r="H4" s="163" t="s">
        <v>1727</v>
      </c>
      <c r="I4" s="156"/>
    </row>
    <row r="5" spans="3:9">
      <c r="C5" s="161" t="s">
        <v>1252</v>
      </c>
      <c r="D5" s="61" t="s">
        <v>1262</v>
      </c>
      <c r="E5" s="164">
        <v>0.06</v>
      </c>
      <c r="G5" s="167" t="s">
        <v>3027</v>
      </c>
      <c r="H5" s="173">
        <v>0</v>
      </c>
      <c r="I5" s="156"/>
    </row>
    <row r="6" spans="3:9" ht="15" thickBot="1">
      <c r="C6" s="157" t="s">
        <v>3024</v>
      </c>
      <c r="D6" s="2" t="s">
        <v>3019</v>
      </c>
      <c r="E6" s="158">
        <v>-2000</v>
      </c>
      <c r="G6" s="166" t="s">
        <v>3028</v>
      </c>
      <c r="H6" s="168">
        <v>1</v>
      </c>
      <c r="I6" s="156"/>
    </row>
    <row r="7" spans="3:9" ht="15" thickBot="1">
      <c r="C7" s="157" t="s">
        <v>3025</v>
      </c>
      <c r="D7" s="2" t="s">
        <v>1264</v>
      </c>
      <c r="E7" s="158">
        <v>-15000</v>
      </c>
      <c r="G7" s="155"/>
      <c r="I7" s="156"/>
    </row>
    <row r="8" spans="3:9" ht="15" thickBot="1">
      <c r="C8" s="157" t="s">
        <v>1260</v>
      </c>
      <c r="D8" s="2" t="s">
        <v>1265</v>
      </c>
      <c r="E8" s="158">
        <v>60000</v>
      </c>
      <c r="G8" s="162" t="s">
        <v>3026</v>
      </c>
      <c r="H8" s="172" t="s">
        <v>3010</v>
      </c>
      <c r="I8" s="163" t="s">
        <v>1727</v>
      </c>
    </row>
    <row r="9" spans="3:9">
      <c r="C9" s="157" t="s">
        <v>3018</v>
      </c>
      <c r="D9" s="2" t="s">
        <v>1266</v>
      </c>
      <c r="E9" s="159">
        <v>1</v>
      </c>
      <c r="G9" s="167" t="s">
        <v>3011</v>
      </c>
      <c r="H9" s="61" t="s">
        <v>1288</v>
      </c>
      <c r="I9" s="173">
        <v>12</v>
      </c>
    </row>
    <row r="10" spans="3:9">
      <c r="C10" s="157" t="s">
        <v>3026</v>
      </c>
      <c r="D10" s="55"/>
      <c r="E10" s="159">
        <v>2</v>
      </c>
      <c r="G10" s="165" t="s">
        <v>3012</v>
      </c>
      <c r="H10" s="2" t="s">
        <v>1289</v>
      </c>
      <c r="I10" s="159">
        <v>4</v>
      </c>
    </row>
    <row r="11" spans="3:9" ht="15" thickBot="1">
      <c r="C11" s="155"/>
      <c r="E11" s="156"/>
      <c r="G11" s="166" t="s">
        <v>3014</v>
      </c>
      <c r="H11" s="171" t="s">
        <v>1290</v>
      </c>
      <c r="I11" s="168">
        <v>2</v>
      </c>
    </row>
    <row r="12" spans="3:9" ht="15" thickBot="1">
      <c r="C12" s="160" t="str">
        <f>"Number Of Periods ("&amp;IF(E10=12,"months",(IF(E10=4,"quarters","semi-annuals")))&amp;")"</f>
        <v>Number Of Periods (semi-annuals)</v>
      </c>
      <c r="D12" s="402">
        <f>NPER(E5/E10,E6,E7,E8,E9)</f>
        <v>14.560279771016853</v>
      </c>
      <c r="E12" s="403"/>
      <c r="F12" s="169"/>
      <c r="G12" s="169"/>
      <c r="H12" s="169"/>
      <c r="I12" s="170"/>
    </row>
  </sheetData>
  <mergeCells count="3">
    <mergeCell ref="D12:E12"/>
    <mergeCell ref="G3:I3"/>
    <mergeCell ref="C2:I2"/>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A64-5F77-4A6A-B786-5F4AFF414F74}">
  <sheetPr codeName="Sheet305"/>
  <dimension ref="A1:B10"/>
  <sheetViews>
    <sheetView workbookViewId="0">
      <selection activeCell="B10" sqref="B10"/>
    </sheetView>
  </sheetViews>
  <sheetFormatPr defaultRowHeight="14.4"/>
  <cols>
    <col min="1" max="1" width="24" bestFit="1" customWidth="1"/>
    <col min="2" max="2" width="11.88671875" bestFit="1" customWidth="1"/>
  </cols>
  <sheetData>
    <row r="1" spans="1:2">
      <c r="A1" s="369" t="s">
        <v>3007</v>
      </c>
      <c r="B1" s="369"/>
    </row>
    <row r="3" spans="1:2">
      <c r="A3" s="369" t="s">
        <v>1421</v>
      </c>
      <c r="B3" s="369"/>
    </row>
    <row r="4" spans="1:2">
      <c r="A4" s="1" t="s">
        <v>2887</v>
      </c>
      <c r="B4" s="1" t="s">
        <v>1727</v>
      </c>
    </row>
    <row r="5" spans="1:2">
      <c r="A5" s="2" t="s">
        <v>1252</v>
      </c>
      <c r="B5" s="15">
        <v>0.1</v>
      </c>
    </row>
    <row r="6" spans="1:2">
      <c r="A6" s="2" t="s">
        <v>3008</v>
      </c>
      <c r="B6" s="53">
        <v>-5000</v>
      </c>
    </row>
    <row r="7" spans="1:2">
      <c r="A7" s="2" t="s">
        <v>1259</v>
      </c>
      <c r="B7" s="53">
        <v>30000</v>
      </c>
    </row>
    <row r="10" spans="1:2">
      <c r="A10" s="1" t="s">
        <v>3009</v>
      </c>
      <c r="B10" s="7">
        <f>ROUND(NPER(B5,B6,B7),0)</f>
        <v>10</v>
      </c>
    </row>
  </sheetData>
  <mergeCells count="2">
    <mergeCell ref="A1:B1"/>
    <mergeCell ref="A3:B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3CE1-1ADE-4262-8BD9-0FB488C14479}">
  <sheetPr codeName="Sheet306"/>
  <dimension ref="A1:B10"/>
  <sheetViews>
    <sheetView workbookViewId="0">
      <selection activeCell="A4" sqref="A4"/>
    </sheetView>
  </sheetViews>
  <sheetFormatPr defaultRowHeight="14.4"/>
  <cols>
    <col min="1" max="1" width="26.88671875" bestFit="1" customWidth="1"/>
    <col min="2" max="2" width="11.88671875" bestFit="1" customWidth="1"/>
  </cols>
  <sheetData>
    <row r="1" spans="1:2">
      <c r="A1" s="369" t="s">
        <v>3007</v>
      </c>
      <c r="B1" s="369"/>
    </row>
    <row r="3" spans="1:2">
      <c r="A3" s="369" t="s">
        <v>1421</v>
      </c>
      <c r="B3" s="369"/>
    </row>
    <row r="4" spans="1:2">
      <c r="A4" s="1" t="s">
        <v>2887</v>
      </c>
      <c r="B4" s="1" t="s">
        <v>1727</v>
      </c>
    </row>
    <row r="5" spans="1:2">
      <c r="A5" s="2" t="s">
        <v>1252</v>
      </c>
      <c r="B5" s="15">
        <v>4.4999999999999998E-2</v>
      </c>
    </row>
    <row r="6" spans="1:2">
      <c r="A6" s="2" t="s">
        <v>3029</v>
      </c>
      <c r="B6" s="53">
        <v>-6000</v>
      </c>
    </row>
    <row r="7" spans="1:2">
      <c r="A7" s="2" t="s">
        <v>1259</v>
      </c>
      <c r="B7" s="53">
        <v>25000</v>
      </c>
    </row>
    <row r="10" spans="1:2">
      <c r="A10" s="1" t="s">
        <v>3030</v>
      </c>
      <c r="B10" s="7">
        <v>4.2914460022329299</v>
      </c>
    </row>
  </sheetData>
  <mergeCells count="2">
    <mergeCell ref="A1:B1"/>
    <mergeCell ref="A3:B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0FA7-C709-42FD-9155-B432423CF79E}">
  <sheetPr codeName="Sheet307"/>
  <dimension ref="A1:E12"/>
  <sheetViews>
    <sheetView workbookViewId="0">
      <selection activeCell="A11" sqref="A11:B12"/>
    </sheetView>
  </sheetViews>
  <sheetFormatPr defaultRowHeight="14.4"/>
  <cols>
    <col min="1" max="1" width="8.6640625" customWidth="1"/>
  </cols>
  <sheetData>
    <row r="1" spans="1:5">
      <c r="A1" s="369" t="s">
        <v>3031</v>
      </c>
      <c r="B1" s="369"/>
      <c r="C1" s="369"/>
      <c r="D1" s="369"/>
      <c r="E1" s="369"/>
    </row>
    <row r="3" spans="1:5">
      <c r="A3" s="369" t="s">
        <v>3032</v>
      </c>
      <c r="B3" s="369"/>
      <c r="D3" s="369" t="s">
        <v>3033</v>
      </c>
      <c r="E3" s="369"/>
    </row>
    <row r="5" spans="1:5">
      <c r="A5" s="2">
        <v>2</v>
      </c>
      <c r="B5" s="2">
        <v>4</v>
      </c>
      <c r="D5" s="2">
        <v>3</v>
      </c>
      <c r="E5" s="2">
        <v>6</v>
      </c>
    </row>
    <row r="6" spans="1:5">
      <c r="A6" s="2">
        <v>6</v>
      </c>
      <c r="B6" s="2">
        <v>8</v>
      </c>
      <c r="D6" s="2">
        <v>9</v>
      </c>
      <c r="E6" s="2">
        <v>12</v>
      </c>
    </row>
    <row r="9" spans="1:5">
      <c r="A9" s="369" t="s">
        <v>3034</v>
      </c>
      <c r="B9" s="369"/>
      <c r="C9" s="369"/>
      <c r="D9" s="369"/>
      <c r="E9" s="369"/>
    </row>
    <row r="11" spans="1:5">
      <c r="A11" s="7">
        <f t="array" ref="A11:B12">MMULT(A5:B6,D5:E6)</f>
        <v>42</v>
      </c>
      <c r="B11" s="7">
        <v>60</v>
      </c>
    </row>
    <row r="12" spans="1:5">
      <c r="A12" s="7">
        <v>90</v>
      </c>
      <c r="B12" s="7">
        <v>132</v>
      </c>
    </row>
  </sheetData>
  <mergeCells count="4">
    <mergeCell ref="A3:B3"/>
    <mergeCell ref="D3:E3"/>
    <mergeCell ref="A1:E1"/>
    <mergeCell ref="A9:E9"/>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2D50-D46F-4B7D-96A2-40D1F5297275}">
  <sheetPr codeName="Sheet308"/>
  <dimension ref="B1:J13"/>
  <sheetViews>
    <sheetView workbookViewId="0">
      <selection activeCell="A11" sqref="A11:B12"/>
    </sheetView>
  </sheetViews>
  <sheetFormatPr defaultRowHeight="14.4"/>
  <sheetData>
    <row r="1" spans="2:10" ht="15" thickBot="1"/>
    <row r="2" spans="2:10">
      <c r="B2" s="413" t="s">
        <v>3035</v>
      </c>
      <c r="C2" s="414"/>
      <c r="D2" s="414"/>
      <c r="E2" s="414"/>
      <c r="F2" s="414"/>
      <c r="G2" s="414"/>
      <c r="H2" s="415"/>
    </row>
    <row r="3" spans="2:10" ht="15" thickBot="1">
      <c r="B3" s="155"/>
      <c r="H3" s="156"/>
    </row>
    <row r="4" spans="2:10" ht="15" thickBot="1">
      <c r="B4" s="416" t="s">
        <v>1421</v>
      </c>
      <c r="C4" s="417"/>
      <c r="D4" s="417"/>
      <c r="E4" s="411"/>
      <c r="F4" s="417"/>
      <c r="G4" s="417"/>
      <c r="H4" s="418"/>
    </row>
    <row r="5" spans="2:10">
      <c r="B5" s="410" t="s">
        <v>3032</v>
      </c>
      <c r="C5" s="411"/>
      <c r="D5" s="412"/>
      <c r="F5" s="410" t="s">
        <v>3033</v>
      </c>
      <c r="G5" s="411"/>
      <c r="H5" s="412"/>
    </row>
    <row r="6" spans="2:10">
      <c r="B6" s="157">
        <v>1</v>
      </c>
      <c r="C6" s="2">
        <v>2</v>
      </c>
      <c r="D6" s="159">
        <v>3</v>
      </c>
      <c r="F6" s="157">
        <v>10</v>
      </c>
      <c r="G6" s="2">
        <v>100</v>
      </c>
      <c r="H6" s="159">
        <v>1000</v>
      </c>
    </row>
    <row r="7" spans="2:10">
      <c r="B7" s="157">
        <v>4</v>
      </c>
      <c r="C7" s="2">
        <v>5</v>
      </c>
      <c r="D7" s="159">
        <v>6</v>
      </c>
      <c r="F7" s="157">
        <v>100</v>
      </c>
      <c r="G7" s="2">
        <v>1000</v>
      </c>
      <c r="H7" s="159">
        <v>10</v>
      </c>
    </row>
    <row r="8" spans="2:10" ht="15" thickBot="1">
      <c r="B8" s="174">
        <v>7</v>
      </c>
      <c r="C8" s="171">
        <v>8</v>
      </c>
      <c r="D8" s="168">
        <v>9</v>
      </c>
      <c r="E8" s="169"/>
      <c r="F8" s="174">
        <v>1000</v>
      </c>
      <c r="G8" s="171">
        <v>10</v>
      </c>
      <c r="H8" s="168">
        <v>100</v>
      </c>
    </row>
    <row r="9" spans="2:10" ht="15" thickBot="1">
      <c r="B9" s="155"/>
      <c r="H9" s="156"/>
    </row>
    <row r="10" spans="2:10" ht="27.9" customHeight="1">
      <c r="B10" s="419" t="s">
        <v>3036</v>
      </c>
      <c r="C10" s="420"/>
      <c r="D10" s="421"/>
      <c r="H10" s="156"/>
    </row>
    <row r="11" spans="2:10">
      <c r="B11" s="175">
        <f t="array" ref="B11:D13">MMULT(B6:D8,F6:H8)</f>
        <v>3210</v>
      </c>
      <c r="C11" s="7">
        <v>2130</v>
      </c>
      <c r="D11" s="178">
        <v>1320</v>
      </c>
      <c r="H11" s="156"/>
      <c r="J11" s="121"/>
    </row>
    <row r="12" spans="2:10">
      <c r="B12" s="175">
        <v>6540</v>
      </c>
      <c r="C12" s="7">
        <v>5460</v>
      </c>
      <c r="D12" s="178">
        <v>4650</v>
      </c>
      <c r="H12" s="156"/>
    </row>
    <row r="13" spans="2:10" ht="15" thickBot="1">
      <c r="B13" s="176">
        <v>9870</v>
      </c>
      <c r="C13" s="177">
        <v>8790</v>
      </c>
      <c r="D13" s="179">
        <v>7980</v>
      </c>
      <c r="E13" s="169"/>
      <c r="F13" s="169"/>
      <c r="G13" s="169"/>
      <c r="H13" s="170"/>
    </row>
  </sheetData>
  <mergeCells count="5">
    <mergeCell ref="B5:D5"/>
    <mergeCell ref="F5:H5"/>
    <mergeCell ref="B2:H2"/>
    <mergeCell ref="B4:H4"/>
    <mergeCell ref="B10:D10"/>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D735C-6635-4244-8AC5-45F267C2C516}">
  <sheetPr codeName="Sheet309"/>
  <dimension ref="C1:G12"/>
  <sheetViews>
    <sheetView workbookViewId="0">
      <selection activeCell="A11" sqref="A11:B12"/>
    </sheetView>
  </sheetViews>
  <sheetFormatPr defaultRowHeight="14.4"/>
  <cols>
    <col min="4" max="4" width="8.6640625" customWidth="1"/>
  </cols>
  <sheetData>
    <row r="1" spans="3:7" ht="15" thickBot="1"/>
    <row r="2" spans="3:7" ht="15" thickBot="1">
      <c r="C2" s="416" t="s">
        <v>1421</v>
      </c>
      <c r="D2" s="417"/>
      <c r="E2" s="411"/>
      <c r="F2" s="417"/>
      <c r="G2" s="418"/>
    </row>
    <row r="3" spans="3:7">
      <c r="C3" s="410" t="s">
        <v>3037</v>
      </c>
      <c r="D3" s="412"/>
      <c r="F3" s="410" t="s">
        <v>3038</v>
      </c>
      <c r="G3" s="412"/>
    </row>
    <row r="4" spans="3:7">
      <c r="C4" s="157">
        <v>4</v>
      </c>
      <c r="D4" s="159">
        <v>8</v>
      </c>
      <c r="F4" s="157">
        <v>11</v>
      </c>
      <c r="G4" s="159">
        <v>22</v>
      </c>
    </row>
    <row r="5" spans="3:7" ht="15" thickBot="1">
      <c r="C5" s="174">
        <v>5</v>
      </c>
      <c r="D5" s="168">
        <v>10</v>
      </c>
      <c r="E5" s="169"/>
      <c r="F5" s="174">
        <v>12</v>
      </c>
      <c r="G5" s="168">
        <v>24</v>
      </c>
    </row>
    <row r="6" spans="3:7" ht="15" thickBot="1"/>
    <row r="7" spans="3:7">
      <c r="C7" s="410" t="s">
        <v>3041</v>
      </c>
      <c r="D7" s="411"/>
      <c r="E7" s="411"/>
      <c r="F7" s="411"/>
      <c r="G7" s="412"/>
    </row>
    <row r="8" spans="3:7" ht="45.6" customHeight="1">
      <c r="C8" s="422" t="s">
        <v>3040</v>
      </c>
      <c r="D8" s="423"/>
      <c r="F8" s="422" t="s">
        <v>3035</v>
      </c>
      <c r="G8" s="423"/>
    </row>
    <row r="9" spans="3:7" ht="15" thickBot="1">
      <c r="C9" s="155"/>
      <c r="D9" s="156"/>
      <c r="F9" s="155"/>
      <c r="G9" s="156"/>
    </row>
    <row r="10" spans="3:7">
      <c r="C10" s="410" t="s">
        <v>3039</v>
      </c>
      <c r="D10" s="412"/>
      <c r="F10" s="410" t="s">
        <v>3039</v>
      </c>
      <c r="G10" s="412"/>
    </row>
    <row r="11" spans="3:7">
      <c r="C11" s="175">
        <f>C4*F4+D4*F5</f>
        <v>140</v>
      </c>
      <c r="D11" s="178">
        <f>C4*G4+D4*G5</f>
        <v>280</v>
      </c>
      <c r="F11" s="175">
        <f t="array" ref="F11:G12">MMULT(C4:D5,F4:G5)</f>
        <v>140</v>
      </c>
      <c r="G11" s="178">
        <v>280</v>
      </c>
    </row>
    <row r="12" spans="3:7" ht="15" thickBot="1">
      <c r="C12" s="176">
        <f>C5*F4+D5*F5</f>
        <v>175</v>
      </c>
      <c r="D12" s="179">
        <f>C5*G4+D5*G5</f>
        <v>350</v>
      </c>
      <c r="E12" s="169"/>
      <c r="F12" s="176">
        <v>175</v>
      </c>
      <c r="G12" s="179">
        <v>350</v>
      </c>
    </row>
  </sheetData>
  <mergeCells count="8">
    <mergeCell ref="C2:G2"/>
    <mergeCell ref="C7:G7"/>
    <mergeCell ref="C8:D8"/>
    <mergeCell ref="C10:D10"/>
    <mergeCell ref="F8:G8"/>
    <mergeCell ref="F10:G10"/>
    <mergeCell ref="C3:D3"/>
    <mergeCell ref="F3:G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18D-594E-47E7-90DA-E08E7845B661}">
  <sheetPr codeName="Sheet310"/>
  <dimension ref="A1:H10"/>
  <sheetViews>
    <sheetView workbookViewId="0">
      <selection activeCell="A11" sqref="A11:B12"/>
    </sheetView>
  </sheetViews>
  <sheetFormatPr defaultRowHeight="14.4"/>
  <cols>
    <col min="1" max="1" width="11.109375" bestFit="1" customWidth="1"/>
    <col min="2" max="2" width="20.109375" bestFit="1" customWidth="1"/>
    <col min="3" max="3" width="18.44140625" bestFit="1" customWidth="1"/>
    <col min="4" max="4" width="18.33203125" bestFit="1" customWidth="1"/>
    <col min="6" max="6" width="11.109375" bestFit="1" customWidth="1"/>
    <col min="7" max="7" width="15.33203125" bestFit="1" customWidth="1"/>
    <col min="8" max="8" width="8.44140625" bestFit="1" customWidth="1"/>
  </cols>
  <sheetData>
    <row r="1" spans="1:8">
      <c r="A1" s="413" t="s">
        <v>1421</v>
      </c>
      <c r="B1" s="414"/>
      <c r="C1" s="414"/>
      <c r="D1" s="414"/>
      <c r="E1" s="414"/>
      <c r="F1" s="414"/>
      <c r="G1" s="414"/>
      <c r="H1" s="415"/>
    </row>
    <row r="2" spans="1:8">
      <c r="A2" s="180" t="s">
        <v>32</v>
      </c>
      <c r="B2" s="1" t="s">
        <v>3048</v>
      </c>
      <c r="C2" s="1" t="s">
        <v>3049</v>
      </c>
      <c r="D2" s="1" t="s">
        <v>3050</v>
      </c>
      <c r="F2" s="1" t="s">
        <v>3047</v>
      </c>
      <c r="G2" s="1" t="s">
        <v>3043</v>
      </c>
      <c r="H2" s="181" t="s">
        <v>136</v>
      </c>
    </row>
    <row r="3" spans="1:8">
      <c r="A3" s="157" t="s">
        <v>307</v>
      </c>
      <c r="B3" s="2">
        <v>50</v>
      </c>
      <c r="C3" s="2">
        <v>65</v>
      </c>
      <c r="D3" s="2">
        <v>80</v>
      </c>
      <c r="F3" s="2" t="s">
        <v>3045</v>
      </c>
      <c r="G3" s="2">
        <v>5</v>
      </c>
      <c r="H3" s="159">
        <v>3</v>
      </c>
    </row>
    <row r="4" spans="1:8">
      <c r="A4" s="157" t="s">
        <v>308</v>
      </c>
      <c r="B4" s="2">
        <v>100</v>
      </c>
      <c r="C4" s="2">
        <v>150</v>
      </c>
      <c r="D4" s="2">
        <v>180</v>
      </c>
      <c r="F4" s="2" t="s">
        <v>3046</v>
      </c>
      <c r="G4" s="2">
        <v>2</v>
      </c>
      <c r="H4" s="159">
        <v>3</v>
      </c>
    </row>
    <row r="5" spans="1:8" ht="15" thickBot="1">
      <c r="A5" s="182"/>
      <c r="B5" s="169"/>
      <c r="C5" s="169"/>
      <c r="D5" s="169"/>
      <c r="E5" s="169"/>
      <c r="F5" s="171" t="s">
        <v>3051</v>
      </c>
      <c r="G5" s="171">
        <v>15</v>
      </c>
      <c r="H5" s="168">
        <v>5</v>
      </c>
    </row>
    <row r="6" spans="1:8" ht="15" thickBot="1"/>
    <row r="7" spans="1:8">
      <c r="A7" s="410" t="s">
        <v>3052</v>
      </c>
      <c r="B7" s="411"/>
      <c r="C7" s="412"/>
    </row>
    <row r="8" spans="1:8">
      <c r="A8" s="180" t="s">
        <v>32</v>
      </c>
      <c r="B8" s="1" t="s">
        <v>3044</v>
      </c>
      <c r="C8" s="181" t="s">
        <v>3042</v>
      </c>
    </row>
    <row r="9" spans="1:8">
      <c r="A9" s="157" t="s">
        <v>307</v>
      </c>
      <c r="B9" s="7">
        <f t="array" ref="B9:C10">MMULT(B3:D4,G3:H5)</f>
        <v>1580</v>
      </c>
      <c r="C9" s="178">
        <v>745</v>
      </c>
    </row>
    <row r="10" spans="1:8" ht="15" thickBot="1">
      <c r="A10" s="174" t="s">
        <v>308</v>
      </c>
      <c r="B10" s="177">
        <v>3500</v>
      </c>
      <c r="C10" s="179">
        <v>1650</v>
      </c>
    </row>
  </sheetData>
  <mergeCells count="2">
    <mergeCell ref="A1:H1"/>
    <mergeCell ref="A7:C7"/>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5AC0-4A6B-41CF-9D06-D5D1E517EB64}">
  <sheetPr codeName="Sheet311"/>
  <dimension ref="A1:E13"/>
  <sheetViews>
    <sheetView workbookViewId="0">
      <selection activeCell="A11" sqref="A11:B12"/>
    </sheetView>
  </sheetViews>
  <sheetFormatPr defaultRowHeight="14.4"/>
  <sheetData>
    <row r="1" spans="1:5">
      <c r="A1" s="1" t="s">
        <v>3053</v>
      </c>
      <c r="B1" s="1" t="s">
        <v>3054</v>
      </c>
      <c r="C1" s="1" t="s">
        <v>3055</v>
      </c>
      <c r="D1" s="1" t="s">
        <v>3057</v>
      </c>
    </row>
    <row r="2" spans="1:5">
      <c r="A2" s="2">
        <v>2</v>
      </c>
      <c r="B2" s="2">
        <v>15</v>
      </c>
      <c r="C2" s="2">
        <v>20</v>
      </c>
      <c r="D2" s="2">
        <v>9</v>
      </c>
    </row>
    <row r="3" spans="1:5">
      <c r="A3" s="2">
        <v>20</v>
      </c>
      <c r="B3" s="2">
        <v>32</v>
      </c>
      <c r="C3" s="2">
        <v>6</v>
      </c>
      <c r="D3" s="2">
        <v>28</v>
      </c>
    </row>
    <row r="4" spans="1:5">
      <c r="A4" s="2">
        <v>5</v>
      </c>
      <c r="B4" s="2">
        <v>30</v>
      </c>
      <c r="C4" s="2">
        <v>19</v>
      </c>
      <c r="D4" s="2">
        <v>40</v>
      </c>
    </row>
    <row r="5" spans="1:5">
      <c r="A5" s="2">
        <v>10</v>
      </c>
      <c r="B5" s="2">
        <v>42</v>
      </c>
      <c r="C5" s="2">
        <v>20</v>
      </c>
      <c r="D5" s="2">
        <v>20</v>
      </c>
    </row>
    <row r="6" spans="1:5">
      <c r="A6" s="2">
        <v>11</v>
      </c>
      <c r="B6" s="2">
        <v>14</v>
      </c>
      <c r="C6" s="2">
        <v>55</v>
      </c>
      <c r="D6" s="2">
        <v>53</v>
      </c>
    </row>
    <row r="7" spans="1:5">
      <c r="A7" s="2">
        <v>23</v>
      </c>
      <c r="B7" s="2">
        <v>20</v>
      </c>
      <c r="C7" s="2">
        <v>28</v>
      </c>
      <c r="D7" s="2">
        <v>89</v>
      </c>
    </row>
    <row r="8" spans="1:5">
      <c r="A8" s="2">
        <v>29</v>
      </c>
      <c r="B8" s="2">
        <v>19</v>
      </c>
      <c r="C8" s="2">
        <v>75</v>
      </c>
      <c r="D8" s="2">
        <v>95</v>
      </c>
    </row>
    <row r="9" spans="1:5">
      <c r="A9" s="2">
        <v>20</v>
      </c>
      <c r="B9" s="2">
        <v>24</v>
      </c>
      <c r="C9" s="2">
        <v>47</v>
      </c>
      <c r="D9" s="2">
        <v>32</v>
      </c>
    </row>
    <row r="10" spans="1:5">
      <c r="A10" s="2">
        <v>30</v>
      </c>
      <c r="B10" s="2">
        <v>20</v>
      </c>
      <c r="C10" s="2">
        <v>33</v>
      </c>
      <c r="D10" s="2">
        <v>88</v>
      </c>
    </row>
    <row r="11" spans="1:5">
      <c r="A11" s="2">
        <v>3</v>
      </c>
      <c r="B11" s="2">
        <v>29</v>
      </c>
      <c r="C11" s="2">
        <v>40</v>
      </c>
      <c r="D11" s="2">
        <v>71</v>
      </c>
    </row>
    <row r="13" spans="1:5">
      <c r="A13" s="369" t="s">
        <v>3056</v>
      </c>
      <c r="B13" s="369"/>
      <c r="C13" s="369"/>
      <c r="D13" s="369"/>
      <c r="E13" s="7">
        <f t="array" ref="E13">SUM(--(MMULT(--(A2:D11=20),TRANSPOSE(COLUMN(A2:D11)))&gt;0))</f>
        <v>6</v>
      </c>
    </row>
  </sheetData>
  <mergeCells count="1">
    <mergeCell ref="A13:D13"/>
  </mergeCells>
  <pageMargins left="0.7" right="0.7" top="0.75" bottom="0.75" header="0.3" footer="0.3"/>
  <pageSetup orientation="portrait"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EE5-8764-4FF1-81C9-6B0F6A7E7ABA}">
  <sheetPr codeName="Sheet312"/>
  <dimension ref="B1:F14"/>
  <sheetViews>
    <sheetView workbookViewId="0">
      <selection activeCell="B5" sqref="B5"/>
    </sheetView>
  </sheetViews>
  <sheetFormatPr defaultRowHeight="14.4"/>
  <sheetData>
    <row r="1" spans="2:6" ht="15" thickBot="1"/>
    <row r="2" spans="2:6" ht="15" thickBot="1">
      <c r="B2" s="407" t="s">
        <v>3059</v>
      </c>
      <c r="C2" s="408"/>
      <c r="D2" s="408"/>
      <c r="E2" s="408"/>
      <c r="F2" s="409"/>
    </row>
    <row r="3" spans="2:6" ht="15" thickBot="1">
      <c r="B3" s="155"/>
      <c r="F3" s="156"/>
    </row>
    <row r="4" spans="2:6">
      <c r="B4" s="410" t="s">
        <v>1421</v>
      </c>
      <c r="C4" s="411"/>
      <c r="D4" s="411"/>
      <c r="E4" s="411"/>
      <c r="F4" s="412"/>
    </row>
    <row r="5" spans="2:6">
      <c r="B5" s="183" t="s">
        <v>3032</v>
      </c>
      <c r="D5" s="424" t="s">
        <v>3033</v>
      </c>
      <c r="E5" s="424"/>
      <c r="F5" s="425"/>
    </row>
    <row r="6" spans="2:6">
      <c r="B6" s="157">
        <v>1</v>
      </c>
      <c r="D6" s="2">
        <v>1</v>
      </c>
      <c r="E6" s="2">
        <v>2</v>
      </c>
      <c r="F6" s="159">
        <v>3</v>
      </c>
    </row>
    <row r="7" spans="2:6">
      <c r="B7" s="157">
        <v>2</v>
      </c>
      <c r="F7" s="156"/>
    </row>
    <row r="8" spans="2:6" ht="15" thickBot="1">
      <c r="B8" s="174">
        <v>3</v>
      </c>
      <c r="C8" s="169"/>
      <c r="D8" s="169"/>
      <c r="E8" s="169"/>
      <c r="F8" s="170"/>
    </row>
    <row r="9" spans="2:6" ht="15" thickBot="1">
      <c r="B9" s="184"/>
      <c r="F9" s="156"/>
    </row>
    <row r="10" spans="2:6">
      <c r="B10" s="410" t="s">
        <v>1738</v>
      </c>
      <c r="C10" s="411"/>
      <c r="D10" s="411"/>
      <c r="E10" s="411"/>
      <c r="F10" s="412"/>
    </row>
    <row r="11" spans="2:6" ht="29.1" customHeight="1">
      <c r="B11" s="426" t="s">
        <v>3058</v>
      </c>
      <c r="C11" s="427"/>
      <c r="D11" s="428"/>
      <c r="F11" s="156"/>
    </row>
    <row r="12" spans="2:6">
      <c r="B12" s="175">
        <f t="array" ref="B12:D14">MMULT(B6:B8,D6:F6)</f>
        <v>1</v>
      </c>
      <c r="C12" s="7">
        <v>2</v>
      </c>
      <c r="D12" s="178">
        <v>3</v>
      </c>
      <c r="F12" s="156"/>
    </row>
    <row r="13" spans="2:6">
      <c r="B13" s="175">
        <v>2</v>
      </c>
      <c r="C13" s="7">
        <v>4</v>
      </c>
      <c r="D13" s="178">
        <v>6</v>
      </c>
      <c r="F13" s="156"/>
    </row>
    <row r="14" spans="2:6" ht="15" thickBot="1">
      <c r="B14" s="176">
        <v>3</v>
      </c>
      <c r="C14" s="177">
        <v>6</v>
      </c>
      <c r="D14" s="179">
        <v>9</v>
      </c>
      <c r="E14" s="169"/>
      <c r="F14" s="170"/>
    </row>
  </sheetData>
  <mergeCells count="5">
    <mergeCell ref="D5:F5"/>
    <mergeCell ref="B4:F4"/>
    <mergeCell ref="B11:D11"/>
    <mergeCell ref="B2:F2"/>
    <mergeCell ref="B10:F10"/>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646D-4526-4043-A1AF-8769DB0E9B65}">
  <sheetPr codeName="Sheet313"/>
  <dimension ref="A1:B12"/>
  <sheetViews>
    <sheetView workbookViewId="0">
      <selection activeCell="B12" sqref="B12"/>
    </sheetView>
  </sheetViews>
  <sheetFormatPr defaultRowHeight="14.4"/>
  <cols>
    <col min="1" max="1" width="42" bestFit="1" customWidth="1"/>
    <col min="2" max="2" width="10.44140625" bestFit="1" customWidth="1"/>
  </cols>
  <sheetData>
    <row r="1" spans="1:2">
      <c r="A1" s="374" t="s">
        <v>3060</v>
      </c>
      <c r="B1" s="370"/>
    </row>
    <row r="3" spans="1:2">
      <c r="A3" s="1" t="s">
        <v>1718</v>
      </c>
      <c r="B3" s="1" t="s">
        <v>1727</v>
      </c>
    </row>
    <row r="4" spans="1:2">
      <c r="A4" s="2" t="s">
        <v>2880</v>
      </c>
      <c r="B4" s="20">
        <v>42005</v>
      </c>
    </row>
    <row r="5" spans="1:2">
      <c r="A5" s="2" t="s">
        <v>2881</v>
      </c>
      <c r="B5" s="20">
        <v>45971</v>
      </c>
    </row>
    <row r="6" spans="1:2">
      <c r="A6" s="2" t="s">
        <v>2905</v>
      </c>
      <c r="B6" s="82">
        <v>0.05</v>
      </c>
    </row>
    <row r="7" spans="1:2">
      <c r="A7" s="2" t="s">
        <v>3061</v>
      </c>
      <c r="B7" s="83">
        <v>101</v>
      </c>
    </row>
    <row r="8" spans="1:2">
      <c r="A8" s="2" t="s">
        <v>3062</v>
      </c>
      <c r="B8" s="83">
        <v>100</v>
      </c>
    </row>
    <row r="9" spans="1:2">
      <c r="A9" s="2" t="s">
        <v>3063</v>
      </c>
      <c r="B9" s="2">
        <v>1</v>
      </c>
    </row>
    <row r="10" spans="1:2">
      <c r="A10" s="2" t="s">
        <v>2913</v>
      </c>
      <c r="B10" s="2">
        <v>0</v>
      </c>
    </row>
    <row r="12" spans="1:2">
      <c r="A12" s="1" t="s">
        <v>3064</v>
      </c>
      <c r="B12" s="62">
        <f>YIELD(B4,B5,B6,B7,B8,B9,B10)</f>
        <v>4.8774580835635524E-2</v>
      </c>
    </row>
  </sheetData>
  <mergeCells count="1">
    <mergeCell ref="A1:B1"/>
  </mergeCells>
  <pageMargins left="0.7" right="0.7" top="0.75" bottom="0.75" header="0.3" footer="0.3"/>
  <pageSetup orientation="portrait" horizontalDpi="4294967293" verticalDpi="0"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D824-5B15-493A-9BE0-B819A32AC224}">
  <sheetPr codeName="Sheet314"/>
  <dimension ref="D2:H8"/>
  <sheetViews>
    <sheetView showGridLines="0" workbookViewId="0">
      <selection activeCell="B12" sqref="B12"/>
    </sheetView>
  </sheetViews>
  <sheetFormatPr defaultRowHeight="14.4"/>
  <cols>
    <col min="4" max="4" width="24.5546875" bestFit="1" customWidth="1"/>
    <col min="5" max="5" width="5.5546875" bestFit="1" customWidth="1"/>
    <col min="6" max="6" width="0.6640625" customWidth="1"/>
    <col min="7" max="7" width="18.88671875" bestFit="1" customWidth="1"/>
    <col min="8" max="8" width="5.5546875" bestFit="1" customWidth="1"/>
  </cols>
  <sheetData>
    <row r="2" spans="4:8">
      <c r="D2" s="369" t="s">
        <v>2885</v>
      </c>
      <c r="E2" s="369"/>
      <c r="G2" s="369" t="s">
        <v>2890</v>
      </c>
      <c r="H2" s="369"/>
    </row>
    <row r="3" spans="4:8">
      <c r="D3" s="1" t="s">
        <v>2915</v>
      </c>
      <c r="E3" s="1" t="s">
        <v>1727</v>
      </c>
      <c r="G3" s="1" t="s">
        <v>2914</v>
      </c>
      <c r="H3" s="1" t="s">
        <v>1727</v>
      </c>
    </row>
    <row r="4" spans="4:8">
      <c r="D4" s="2" t="s">
        <v>3065</v>
      </c>
      <c r="E4" s="2">
        <v>1</v>
      </c>
      <c r="G4" s="2" t="s">
        <v>2886</v>
      </c>
      <c r="H4" s="2">
        <v>0</v>
      </c>
    </row>
    <row r="5" spans="4:8">
      <c r="D5" s="2" t="s">
        <v>3066</v>
      </c>
      <c r="E5" s="2">
        <v>2</v>
      </c>
      <c r="G5" s="2" t="s">
        <v>2891</v>
      </c>
      <c r="H5" s="2">
        <v>1</v>
      </c>
    </row>
    <row r="6" spans="4:8">
      <c r="D6" s="2" t="s">
        <v>1281</v>
      </c>
      <c r="E6" s="2">
        <v>4</v>
      </c>
      <c r="G6" s="2" t="s">
        <v>2892</v>
      </c>
      <c r="H6" s="2">
        <v>2</v>
      </c>
    </row>
    <row r="7" spans="4:8">
      <c r="G7" s="2" t="s">
        <v>2893</v>
      </c>
      <c r="H7" s="2">
        <v>3</v>
      </c>
    </row>
    <row r="8" spans="4:8">
      <c r="G8" s="2" t="s">
        <v>2894</v>
      </c>
      <c r="H8" s="2">
        <v>4</v>
      </c>
    </row>
  </sheetData>
  <mergeCells count="2">
    <mergeCell ref="D2:E2"/>
    <mergeCell ref="G2:H2"/>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BC86-B21C-4809-9BBF-FAED45FA898A}">
  <sheetPr codeName="Sheet315"/>
  <dimension ref="B1:D13"/>
  <sheetViews>
    <sheetView workbookViewId="0">
      <selection activeCell="B12" sqref="B12"/>
    </sheetView>
  </sheetViews>
  <sheetFormatPr defaultRowHeight="14.4"/>
  <cols>
    <col min="2" max="2" width="45.109375" bestFit="1" customWidth="1"/>
    <col min="3" max="3" width="15.5546875" bestFit="1" customWidth="1"/>
    <col min="4" max="4" width="10.44140625" bestFit="1" customWidth="1"/>
  </cols>
  <sheetData>
    <row r="1" spans="2:4">
      <c r="B1" s="369" t="s">
        <v>3067</v>
      </c>
      <c r="C1" s="369"/>
      <c r="D1" s="369"/>
    </row>
    <row r="3" spans="2:4">
      <c r="B3" s="369" t="s">
        <v>1421</v>
      </c>
      <c r="C3" s="369"/>
      <c r="D3" s="369"/>
    </row>
    <row r="4" spans="2:4">
      <c r="B4" s="1" t="s">
        <v>2895</v>
      </c>
      <c r="C4" s="1" t="s">
        <v>3068</v>
      </c>
      <c r="D4" s="1" t="s">
        <v>1727</v>
      </c>
    </row>
    <row r="5" spans="2:4">
      <c r="B5" s="2" t="s">
        <v>2880</v>
      </c>
      <c r="C5" s="2" t="s">
        <v>2896</v>
      </c>
      <c r="D5" s="20">
        <v>40553</v>
      </c>
    </row>
    <row r="6" spans="2:4">
      <c r="B6" s="2" t="s">
        <v>2881</v>
      </c>
      <c r="C6" s="2" t="s">
        <v>2897</v>
      </c>
      <c r="D6" s="20">
        <v>45504</v>
      </c>
    </row>
    <row r="7" spans="2:4">
      <c r="B7" s="2" t="s">
        <v>2905</v>
      </c>
      <c r="C7" s="2" t="s">
        <v>1262</v>
      </c>
      <c r="D7" s="82">
        <v>0.09</v>
      </c>
    </row>
    <row r="8" spans="2:4">
      <c r="B8" s="2" t="s">
        <v>3061</v>
      </c>
      <c r="C8" s="2" t="s">
        <v>3069</v>
      </c>
      <c r="D8" s="83">
        <v>101</v>
      </c>
    </row>
    <row r="9" spans="2:4">
      <c r="B9" s="2" t="s">
        <v>3062</v>
      </c>
      <c r="C9" s="2" t="s">
        <v>2898</v>
      </c>
      <c r="D9" s="83">
        <v>100</v>
      </c>
    </row>
    <row r="10" spans="2:4">
      <c r="B10" s="2" t="s">
        <v>3070</v>
      </c>
      <c r="C10" s="2" t="s">
        <v>2899</v>
      </c>
      <c r="D10" s="2">
        <v>2</v>
      </c>
    </row>
    <row r="11" spans="2:4">
      <c r="B11" s="2" t="s">
        <v>2913</v>
      </c>
      <c r="C11" s="2" t="s">
        <v>2901</v>
      </c>
      <c r="D11" s="2">
        <v>0</v>
      </c>
    </row>
    <row r="13" spans="2:4">
      <c r="B13" s="1" t="s">
        <v>3064</v>
      </c>
      <c r="C13" s="62">
        <f>YIELD(D5,D6,D7,D8,D9,D10,D11)</f>
        <v>8.8705062421325781E-2</v>
      </c>
    </row>
  </sheetData>
  <mergeCells count="2">
    <mergeCell ref="B1:D1"/>
    <mergeCell ref="B3:D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9382-0AE6-4864-8DFE-C24306FA607E}">
  <sheetPr codeName="Sheet316"/>
  <dimension ref="A1:C13"/>
  <sheetViews>
    <sheetView workbookViewId="0">
      <selection activeCell="B12" sqref="B12"/>
    </sheetView>
  </sheetViews>
  <sheetFormatPr defaultRowHeight="14.4"/>
  <cols>
    <col min="1" max="1" width="45.109375" bestFit="1" customWidth="1"/>
    <col min="2" max="2" width="15.5546875" bestFit="1" customWidth="1"/>
    <col min="3" max="3" width="9.44140625" bestFit="1" customWidth="1"/>
  </cols>
  <sheetData>
    <row r="1" spans="1:3">
      <c r="A1" s="369" t="s">
        <v>3071</v>
      </c>
      <c r="B1" s="369"/>
      <c r="C1" s="369"/>
    </row>
    <row r="3" spans="1:3">
      <c r="A3" s="369" t="s">
        <v>1421</v>
      </c>
      <c r="B3" s="369"/>
      <c r="C3" s="369"/>
    </row>
    <row r="4" spans="1:3">
      <c r="A4" s="1" t="s">
        <v>2895</v>
      </c>
      <c r="B4" s="1" t="s">
        <v>3068</v>
      </c>
      <c r="C4" s="1" t="s">
        <v>1727</v>
      </c>
    </row>
    <row r="5" spans="1:3">
      <c r="A5" s="2" t="s">
        <v>2880</v>
      </c>
      <c r="B5" s="2" t="s">
        <v>2896</v>
      </c>
      <c r="C5" s="20">
        <v>40360</v>
      </c>
    </row>
    <row r="6" spans="1:3">
      <c r="A6" s="2" t="s">
        <v>2881</v>
      </c>
      <c r="B6" s="2" t="s">
        <v>2897</v>
      </c>
      <c r="C6" s="20">
        <v>43831</v>
      </c>
    </row>
    <row r="7" spans="1:3">
      <c r="A7" s="2" t="s">
        <v>2905</v>
      </c>
      <c r="B7" s="2" t="s">
        <v>1262</v>
      </c>
      <c r="C7" s="82">
        <v>0.1</v>
      </c>
    </row>
    <row r="8" spans="1:3">
      <c r="A8" s="2" t="s">
        <v>3072</v>
      </c>
      <c r="B8" s="2" t="s">
        <v>3069</v>
      </c>
      <c r="C8" s="83">
        <v>95</v>
      </c>
    </row>
    <row r="9" spans="1:3">
      <c r="A9" s="2" t="s">
        <v>3073</v>
      </c>
      <c r="B9" s="2" t="s">
        <v>2898</v>
      </c>
      <c r="C9" s="83">
        <v>100</v>
      </c>
    </row>
    <row r="10" spans="1:3">
      <c r="A10" s="2" t="s">
        <v>3063</v>
      </c>
      <c r="B10" s="2" t="s">
        <v>2899</v>
      </c>
      <c r="C10" s="2">
        <v>1</v>
      </c>
    </row>
    <row r="11" spans="1:3">
      <c r="A11" s="2" t="s">
        <v>2913</v>
      </c>
      <c r="B11" s="2" t="s">
        <v>2901</v>
      </c>
      <c r="C11" s="2">
        <v>0</v>
      </c>
    </row>
    <row r="13" spans="1:3">
      <c r="A13" s="1" t="s">
        <v>3064</v>
      </c>
      <c r="B13" s="62">
        <f>YIELD(C5,C6,C7,C8,C9,C10,C11)</f>
        <v>0.10846692473616952</v>
      </c>
    </row>
  </sheetData>
  <mergeCells count="2">
    <mergeCell ref="A1:C1"/>
    <mergeCell ref="A3:C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C879-E793-4263-B8C5-40E1977BE707}">
  <sheetPr codeName="Sheet317"/>
  <dimension ref="A1:C13"/>
  <sheetViews>
    <sheetView workbookViewId="0">
      <selection activeCell="B12" sqref="B12"/>
    </sheetView>
  </sheetViews>
  <sheetFormatPr defaultRowHeight="14.4"/>
  <cols>
    <col min="1" max="1" width="45.109375" bestFit="1" customWidth="1"/>
    <col min="2" max="2" width="15.5546875" bestFit="1" customWidth="1"/>
    <col min="3" max="3" width="10.44140625" bestFit="1" customWidth="1"/>
  </cols>
  <sheetData>
    <row r="1" spans="1:3">
      <c r="A1" s="369" t="s">
        <v>3067</v>
      </c>
      <c r="B1" s="369"/>
      <c r="C1" s="369"/>
    </row>
    <row r="3" spans="1:3">
      <c r="A3" s="369" t="s">
        <v>1421</v>
      </c>
      <c r="B3" s="369"/>
      <c r="C3" s="369"/>
    </row>
    <row r="4" spans="1:3">
      <c r="A4" s="1" t="s">
        <v>2895</v>
      </c>
      <c r="B4" s="1" t="s">
        <v>3068</v>
      </c>
      <c r="C4" s="1" t="s">
        <v>1727</v>
      </c>
    </row>
    <row r="5" spans="1:3">
      <c r="A5" s="2" t="s">
        <v>2880</v>
      </c>
      <c r="B5" s="2" t="s">
        <v>2896</v>
      </c>
      <c r="C5" s="20">
        <v>44270</v>
      </c>
    </row>
    <row r="6" spans="1:3">
      <c r="A6" s="2" t="s">
        <v>2881</v>
      </c>
      <c r="B6" s="2" t="s">
        <v>2897</v>
      </c>
      <c r="C6" s="20">
        <v>47776</v>
      </c>
    </row>
    <row r="7" spans="1:3">
      <c r="A7" s="2" t="s">
        <v>2905</v>
      </c>
      <c r="B7" s="2" t="s">
        <v>1262</v>
      </c>
      <c r="C7" s="82">
        <v>7.0000000000000007E-2</v>
      </c>
    </row>
    <row r="8" spans="1:3">
      <c r="A8" s="2" t="s">
        <v>3061</v>
      </c>
      <c r="B8" s="2" t="s">
        <v>3069</v>
      </c>
      <c r="C8" s="83">
        <v>101</v>
      </c>
    </row>
    <row r="9" spans="1:3">
      <c r="A9" s="2" t="s">
        <v>3062</v>
      </c>
      <c r="B9" s="2" t="s">
        <v>2898</v>
      </c>
      <c r="C9" s="83">
        <v>100</v>
      </c>
    </row>
    <row r="10" spans="1:3">
      <c r="A10" s="2" t="s">
        <v>3074</v>
      </c>
      <c r="B10" s="2" t="s">
        <v>2899</v>
      </c>
      <c r="C10" s="2">
        <v>4</v>
      </c>
    </row>
    <row r="11" spans="1:3">
      <c r="A11" s="2" t="s">
        <v>2913</v>
      </c>
      <c r="B11" s="2" t="s">
        <v>2901</v>
      </c>
      <c r="C11" s="2">
        <v>0</v>
      </c>
    </row>
    <row r="13" spans="1:3">
      <c r="A13" s="1" t="s">
        <v>3064</v>
      </c>
      <c r="B13" s="62">
        <f>YIELD(C5,C6,C7,C8,C9,C10,C11)</f>
        <v>6.8564229030643659E-2</v>
      </c>
    </row>
  </sheetData>
  <mergeCells count="2">
    <mergeCell ref="A1:C1"/>
    <mergeCell ref="A3:C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7A3D-18A4-4F9A-8B75-269DC439221D}">
  <sheetPr codeName="Sheet318"/>
  <dimension ref="A1:C13"/>
  <sheetViews>
    <sheetView workbookViewId="0">
      <selection activeCell="B12" sqref="B12"/>
    </sheetView>
  </sheetViews>
  <sheetFormatPr defaultRowHeight="14.4"/>
  <cols>
    <col min="1" max="1" width="45.109375" bestFit="1" customWidth="1"/>
    <col min="2" max="2" width="15.5546875" bestFit="1" customWidth="1"/>
    <col min="3" max="3" width="10.44140625" customWidth="1"/>
  </cols>
  <sheetData>
    <row r="1" spans="1:3">
      <c r="A1" s="369" t="s">
        <v>3067</v>
      </c>
      <c r="B1" s="369"/>
      <c r="C1" s="369"/>
    </row>
    <row r="3" spans="1:3">
      <c r="A3" s="369" t="s">
        <v>1421</v>
      </c>
      <c r="B3" s="369"/>
      <c r="C3" s="369"/>
    </row>
    <row r="4" spans="1:3">
      <c r="A4" s="1" t="s">
        <v>2895</v>
      </c>
      <c r="B4" s="1" t="s">
        <v>3068</v>
      </c>
      <c r="C4" s="1" t="s">
        <v>1727</v>
      </c>
    </row>
    <row r="5" spans="1:3">
      <c r="A5" s="2" t="s">
        <v>2880</v>
      </c>
      <c r="B5" s="2" t="s">
        <v>2896</v>
      </c>
      <c r="C5" s="150">
        <v>41730</v>
      </c>
    </row>
    <row r="6" spans="1:3">
      <c r="A6" s="2" t="s">
        <v>2881</v>
      </c>
      <c r="B6" s="2" t="s">
        <v>2897</v>
      </c>
      <c r="C6" s="150">
        <v>45626</v>
      </c>
    </row>
    <row r="7" spans="1:3">
      <c r="A7" s="2" t="s">
        <v>2905</v>
      </c>
      <c r="B7" s="2" t="s">
        <v>1262</v>
      </c>
      <c r="C7" s="151">
        <v>0.08</v>
      </c>
    </row>
    <row r="8" spans="1:3">
      <c r="A8" s="2" t="s">
        <v>3061</v>
      </c>
      <c r="B8" s="2" t="s">
        <v>3069</v>
      </c>
      <c r="C8" s="83">
        <v>98</v>
      </c>
    </row>
    <row r="9" spans="1:3">
      <c r="A9" s="2" t="s">
        <v>3062</v>
      </c>
      <c r="B9" s="2" t="s">
        <v>2898</v>
      </c>
      <c r="C9" s="83">
        <v>100</v>
      </c>
    </row>
    <row r="10" spans="1:3">
      <c r="A10" s="2" t="s">
        <v>3070</v>
      </c>
      <c r="B10" s="2" t="s">
        <v>2899</v>
      </c>
      <c r="C10" s="2">
        <v>2</v>
      </c>
    </row>
    <row r="11" spans="1:3">
      <c r="A11" s="2" t="s">
        <v>2913</v>
      </c>
      <c r="B11" s="2" t="s">
        <v>2901</v>
      </c>
      <c r="C11" s="153">
        <v>0</v>
      </c>
    </row>
    <row r="13" spans="1:3">
      <c r="A13" s="1" t="s">
        <v>3064</v>
      </c>
      <c r="B13" s="62">
        <f>YIELD(C5,C6,C7,C8,C9,C10,C11)</f>
        <v>8.2834804512891658E-2</v>
      </c>
    </row>
  </sheetData>
  <mergeCells count="2">
    <mergeCell ref="A1:C1"/>
    <mergeCell ref="A3:C3"/>
  </mergeCells>
  <pageMargins left="0.7" right="0.7" top="0.75" bottom="0.75" header="0.3" footer="0.3"/>
  <pageSetup orientation="portrait" horizontalDpi="4294967293" verticalDpi="0"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66DA-B362-4E21-A8D2-45338871FF47}">
  <sheetPr codeName="Sheet319"/>
  <dimension ref="A1:C13"/>
  <sheetViews>
    <sheetView workbookViewId="0">
      <selection activeCell="C4" sqref="C4"/>
    </sheetView>
  </sheetViews>
  <sheetFormatPr defaultRowHeight="14.4"/>
  <cols>
    <col min="1" max="1" width="45.109375" bestFit="1" customWidth="1"/>
    <col min="2" max="2" width="15.5546875" bestFit="1" customWidth="1"/>
    <col min="3" max="3" width="10.44140625" bestFit="1" customWidth="1"/>
  </cols>
  <sheetData>
    <row r="1" spans="1:3">
      <c r="A1" s="369" t="s">
        <v>3067</v>
      </c>
      <c r="B1" s="369"/>
      <c r="C1" s="369"/>
    </row>
    <row r="3" spans="1:3">
      <c r="A3" s="369" t="s">
        <v>1421</v>
      </c>
      <c r="B3" s="369"/>
      <c r="C3" s="369"/>
    </row>
    <row r="4" spans="1:3">
      <c r="A4" s="1" t="s">
        <v>2895</v>
      </c>
      <c r="B4" s="1" t="s">
        <v>3068</v>
      </c>
      <c r="C4" s="1" t="s">
        <v>1727</v>
      </c>
    </row>
    <row r="5" spans="1:3">
      <c r="A5" s="2" t="s">
        <v>2880</v>
      </c>
      <c r="B5" s="2" t="s">
        <v>2896</v>
      </c>
      <c r="C5" s="150">
        <v>42767</v>
      </c>
    </row>
    <row r="6" spans="1:3">
      <c r="A6" s="2" t="s">
        <v>2881</v>
      </c>
      <c r="B6" s="2" t="s">
        <v>2897</v>
      </c>
      <c r="C6" s="150">
        <v>45807</v>
      </c>
    </row>
    <row r="7" spans="1:3">
      <c r="A7" s="2" t="s">
        <v>2905</v>
      </c>
      <c r="B7" s="2" t="s">
        <v>1262</v>
      </c>
      <c r="C7" s="151">
        <v>0.04</v>
      </c>
    </row>
    <row r="8" spans="1:3">
      <c r="A8" s="2" t="s">
        <v>3061</v>
      </c>
      <c r="B8" s="2" t="s">
        <v>3069</v>
      </c>
      <c r="C8" s="83">
        <v>101</v>
      </c>
    </row>
    <row r="9" spans="1:3">
      <c r="A9" s="2" t="s">
        <v>3062</v>
      </c>
      <c r="B9" s="2" t="s">
        <v>2898</v>
      </c>
      <c r="C9" s="83">
        <v>100</v>
      </c>
    </row>
    <row r="10" spans="1:3">
      <c r="A10" s="2" t="s">
        <v>3074</v>
      </c>
      <c r="B10" s="2" t="s">
        <v>2899</v>
      </c>
      <c r="C10" s="2">
        <v>4</v>
      </c>
    </row>
    <row r="11" spans="1:3">
      <c r="A11" s="2" t="s">
        <v>3075</v>
      </c>
      <c r="B11" s="2" t="s">
        <v>2901</v>
      </c>
      <c r="C11" s="153">
        <v>1</v>
      </c>
    </row>
    <row r="13" spans="1:3">
      <c r="A13" s="1" t="s">
        <v>3064</v>
      </c>
      <c r="B13" s="62">
        <f>YIELD(C5,C6,C7,C8,C9,C10,C11)</f>
        <v>3.8588386183454386E-2</v>
      </c>
    </row>
  </sheetData>
  <mergeCells count="2">
    <mergeCell ref="A1:C1"/>
    <mergeCell ref="A3:C3"/>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29D3-66E8-425F-8DCA-429FA2EFC83C}">
  <sheetPr codeName="Sheet320"/>
  <dimension ref="A1:H14"/>
  <sheetViews>
    <sheetView zoomScale="90" zoomScaleNormal="90" workbookViewId="0">
      <selection activeCell="C1" sqref="C1:E1"/>
    </sheetView>
  </sheetViews>
  <sheetFormatPr defaultRowHeight="14.4"/>
  <cols>
    <col min="1" max="1" width="6.44140625" bestFit="1" customWidth="1"/>
    <col min="2" max="2" width="13.109375" bestFit="1" customWidth="1"/>
    <col min="3" max="3" width="9.6640625" bestFit="1" customWidth="1"/>
    <col min="4" max="4" width="9.44140625" bestFit="1" customWidth="1"/>
    <col min="5" max="5" width="11.88671875" bestFit="1" customWidth="1"/>
    <col min="8" max="8" width="16.88671875" bestFit="1" customWidth="1"/>
  </cols>
  <sheetData>
    <row r="1" spans="1:8">
      <c r="A1" s="369" t="s">
        <v>3080</v>
      </c>
      <c r="B1" s="369"/>
      <c r="C1" s="369"/>
      <c r="D1" s="369"/>
      <c r="E1" s="369"/>
    </row>
    <row r="2" spans="1:8">
      <c r="A2" s="1" t="s">
        <v>670</v>
      </c>
      <c r="B2" s="1" t="s">
        <v>3076</v>
      </c>
      <c r="C2" s="1" t="s">
        <v>3077</v>
      </c>
      <c r="D2" s="1" t="s">
        <v>3078</v>
      </c>
      <c r="E2" s="1" t="s">
        <v>3079</v>
      </c>
    </row>
    <row r="3" spans="1:8">
      <c r="A3" s="185">
        <v>44594</v>
      </c>
      <c r="B3" s="53">
        <v>25.43</v>
      </c>
      <c r="C3" s="53">
        <v>26.28</v>
      </c>
      <c r="D3" s="53">
        <v>25.15</v>
      </c>
      <c r="E3" s="53">
        <v>25.61</v>
      </c>
    </row>
    <row r="4" spans="1:8">
      <c r="A4" s="185">
        <v>44595</v>
      </c>
      <c r="B4" s="53">
        <v>26.55</v>
      </c>
      <c r="C4" s="53">
        <v>26.98</v>
      </c>
      <c r="D4" s="53">
        <v>25.22</v>
      </c>
      <c r="E4" s="53">
        <v>25.42</v>
      </c>
    </row>
    <row r="5" spans="1:8">
      <c r="A5" s="185">
        <v>44596</v>
      </c>
      <c r="B5" s="53">
        <v>27.38</v>
      </c>
      <c r="C5" s="53">
        <v>28.74</v>
      </c>
      <c r="D5" s="53">
        <v>27.09</v>
      </c>
      <c r="E5" s="53">
        <v>27.13</v>
      </c>
    </row>
    <row r="6" spans="1:8">
      <c r="A6" s="185">
        <v>44597</v>
      </c>
      <c r="B6" s="53">
        <v>27.59</v>
      </c>
      <c r="C6" s="53">
        <v>27.99</v>
      </c>
      <c r="D6" s="53">
        <v>26.93</v>
      </c>
      <c r="E6" s="53">
        <v>27.46</v>
      </c>
    </row>
    <row r="7" spans="1:8">
      <c r="A7" s="185">
        <v>44598</v>
      </c>
      <c r="B7" s="53">
        <v>28.38</v>
      </c>
      <c r="C7" s="53">
        <v>28.92</v>
      </c>
      <c r="D7" s="53">
        <v>27.87</v>
      </c>
      <c r="E7" s="53">
        <v>28.85</v>
      </c>
    </row>
    <row r="14" spans="1:8">
      <c r="H14" s="1" t="s">
        <v>3081</v>
      </c>
    </row>
  </sheetData>
  <mergeCells count="1">
    <mergeCell ref="A1:E1"/>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7C25-7D61-4F25-A7B3-DDC0936A1AE6}">
  <sheetPr codeName="Sheet321"/>
  <dimension ref="A1:E12"/>
  <sheetViews>
    <sheetView workbookViewId="0">
      <selection activeCell="C1" sqref="C1:E1"/>
    </sheetView>
  </sheetViews>
  <sheetFormatPr defaultRowHeight="14.4"/>
  <cols>
    <col min="1" max="1" width="6.44140625" bestFit="1" customWidth="1"/>
    <col min="2" max="2" width="13.109375" bestFit="1" customWidth="1"/>
    <col min="3" max="3" width="9.6640625" bestFit="1" customWidth="1"/>
    <col min="4" max="4" width="9.44140625" bestFit="1" customWidth="1"/>
    <col min="5" max="5" width="11.88671875" bestFit="1" customWidth="1"/>
  </cols>
  <sheetData>
    <row r="1" spans="1:5">
      <c r="A1" s="369" t="s">
        <v>3080</v>
      </c>
      <c r="B1" s="369"/>
      <c r="C1" s="369"/>
      <c r="D1" s="369"/>
      <c r="E1" s="369"/>
    </row>
    <row r="2" spans="1:5">
      <c r="A2" s="1" t="s">
        <v>670</v>
      </c>
      <c r="B2" s="1" t="s">
        <v>3076</v>
      </c>
      <c r="C2" s="1" t="s">
        <v>3077</v>
      </c>
      <c r="D2" s="1" t="s">
        <v>3078</v>
      </c>
      <c r="E2" s="1" t="s">
        <v>3079</v>
      </c>
    </row>
    <row r="3" spans="1:5">
      <c r="A3" s="185">
        <v>44652</v>
      </c>
      <c r="B3" s="53">
        <v>22</v>
      </c>
      <c r="C3" s="53">
        <v>25</v>
      </c>
      <c r="D3" s="53">
        <v>21</v>
      </c>
      <c r="E3" s="53">
        <v>23</v>
      </c>
    </row>
    <row r="4" spans="1:5">
      <c r="A4" s="185">
        <v>44653</v>
      </c>
      <c r="B4" s="53">
        <v>23</v>
      </c>
      <c r="C4" s="53">
        <v>24</v>
      </c>
      <c r="D4" s="53">
        <v>22</v>
      </c>
      <c r="E4" s="53">
        <v>23</v>
      </c>
    </row>
    <row r="5" spans="1:5">
      <c r="A5" s="185">
        <v>44654</v>
      </c>
      <c r="B5" s="53">
        <v>24</v>
      </c>
      <c r="C5" s="53">
        <v>27</v>
      </c>
      <c r="D5" s="53">
        <v>22</v>
      </c>
      <c r="E5" s="53">
        <v>25</v>
      </c>
    </row>
    <row r="6" spans="1:5">
      <c r="A6" s="185">
        <v>44655</v>
      </c>
      <c r="B6" s="53">
        <v>24</v>
      </c>
      <c r="C6" s="53">
        <v>26</v>
      </c>
      <c r="D6" s="53">
        <v>21</v>
      </c>
      <c r="E6" s="53">
        <v>22</v>
      </c>
    </row>
    <row r="7" spans="1:5">
      <c r="A7" s="185">
        <v>44656</v>
      </c>
      <c r="B7" s="53">
        <v>25</v>
      </c>
      <c r="C7" s="53">
        <v>29</v>
      </c>
      <c r="D7" s="53">
        <v>23</v>
      </c>
      <c r="E7" s="53">
        <v>30</v>
      </c>
    </row>
    <row r="8" spans="1:5">
      <c r="A8" s="185">
        <v>44657</v>
      </c>
      <c r="B8" s="53">
        <v>26</v>
      </c>
      <c r="C8" s="53">
        <v>31</v>
      </c>
      <c r="D8" s="53">
        <v>24</v>
      </c>
      <c r="E8" s="53">
        <v>28</v>
      </c>
    </row>
    <row r="9" spans="1:5">
      <c r="A9" s="185">
        <v>44658</v>
      </c>
      <c r="B9" s="53">
        <v>26</v>
      </c>
      <c r="C9" s="53">
        <v>28</v>
      </c>
      <c r="D9" s="53">
        <v>25</v>
      </c>
      <c r="E9" s="53">
        <v>21</v>
      </c>
    </row>
    <row r="10" spans="1:5">
      <c r="A10" s="185">
        <v>44659</v>
      </c>
      <c r="B10" s="53">
        <v>27</v>
      </c>
      <c r="C10" s="53">
        <v>35</v>
      </c>
      <c r="D10" s="53">
        <v>24</v>
      </c>
      <c r="E10" s="53">
        <v>32</v>
      </c>
    </row>
    <row r="11" spans="1:5">
      <c r="A11" s="185">
        <v>44660</v>
      </c>
      <c r="B11" s="53">
        <v>28</v>
      </c>
      <c r="C11" s="53">
        <v>29</v>
      </c>
      <c r="D11" s="53">
        <v>25</v>
      </c>
      <c r="E11" s="53">
        <v>28</v>
      </c>
    </row>
    <row r="12" spans="1:5">
      <c r="A12" s="185">
        <v>44661</v>
      </c>
      <c r="B12" s="53">
        <v>28</v>
      </c>
      <c r="C12" s="53">
        <v>34</v>
      </c>
      <c r="D12" s="53">
        <v>23</v>
      </c>
      <c r="E12" s="53">
        <v>25</v>
      </c>
    </row>
  </sheetData>
  <mergeCells count="1">
    <mergeCell ref="A1:E1"/>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03E4-C760-43DC-8AD5-DCCB5CC2470C}">
  <sheetPr codeName="Sheet322"/>
  <dimension ref="A1:D7"/>
  <sheetViews>
    <sheetView workbookViewId="0">
      <selection activeCell="C1" sqref="C1:E1"/>
    </sheetView>
  </sheetViews>
  <sheetFormatPr defaultRowHeight="14.4"/>
  <cols>
    <col min="1" max="1" width="6.44140625" bestFit="1" customWidth="1"/>
    <col min="2" max="2" width="16.109375" bestFit="1" customWidth="1"/>
    <col min="3" max="3" width="15.6640625" bestFit="1" customWidth="1"/>
    <col min="4" max="4" width="19.109375" customWidth="1"/>
  </cols>
  <sheetData>
    <row r="1" spans="1:4">
      <c r="A1" s="369" t="s">
        <v>3085</v>
      </c>
      <c r="B1" s="369"/>
      <c r="C1" s="369"/>
      <c r="D1" s="369"/>
    </row>
    <row r="2" spans="1:4">
      <c r="A2" s="1" t="s">
        <v>670</v>
      </c>
      <c r="B2" s="1" t="s">
        <v>3082</v>
      </c>
      <c r="C2" s="1" t="s">
        <v>3083</v>
      </c>
      <c r="D2" s="1" t="s">
        <v>3084</v>
      </c>
    </row>
    <row r="3" spans="1:4">
      <c r="A3" s="185">
        <v>44723</v>
      </c>
      <c r="B3" s="2">
        <v>37</v>
      </c>
      <c r="C3" s="2">
        <v>23</v>
      </c>
      <c r="D3" s="2">
        <v>33</v>
      </c>
    </row>
    <row r="4" spans="1:4">
      <c r="A4" s="185">
        <v>44724</v>
      </c>
      <c r="B4" s="2">
        <v>35</v>
      </c>
      <c r="C4" s="2">
        <v>22</v>
      </c>
      <c r="D4" s="2">
        <v>35</v>
      </c>
    </row>
    <row r="5" spans="1:4">
      <c r="A5" s="185">
        <v>44725</v>
      </c>
      <c r="B5" s="2">
        <v>32</v>
      </c>
      <c r="C5" s="2">
        <v>20</v>
      </c>
      <c r="D5" s="2">
        <v>31</v>
      </c>
    </row>
    <row r="6" spans="1:4">
      <c r="A6" s="185">
        <v>44726</v>
      </c>
      <c r="B6" s="2">
        <v>36</v>
      </c>
      <c r="C6" s="2">
        <v>25</v>
      </c>
      <c r="D6" s="2">
        <v>34</v>
      </c>
    </row>
    <row r="7" spans="1:4">
      <c r="A7" s="185">
        <v>44727</v>
      </c>
      <c r="B7" s="2">
        <v>33</v>
      </c>
      <c r="C7" s="2">
        <v>21</v>
      </c>
      <c r="D7" s="2">
        <v>35</v>
      </c>
    </row>
  </sheetData>
  <mergeCells count="1">
    <mergeCell ref="A1:D1"/>
  </mergeCells>
  <pageMargins left="0.7" right="0.7" top="0.75" bottom="0.75" header="0.3" footer="0.3"/>
  <pageSetup orientation="portrait" horizontalDpi="4294967293" verticalDpi="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99AA-9C6D-4583-93C8-93579CCEEF44}">
  <sheetPr codeName="Sheet323"/>
  <dimension ref="A1:F7"/>
  <sheetViews>
    <sheetView workbookViewId="0">
      <selection activeCell="C1" sqref="C1:E1"/>
    </sheetView>
  </sheetViews>
  <sheetFormatPr defaultRowHeight="14.4"/>
  <cols>
    <col min="1" max="1" width="6.44140625" bestFit="1" customWidth="1"/>
    <col min="2" max="2" width="7.33203125" bestFit="1" customWidth="1"/>
    <col min="3" max="3" width="13.109375" bestFit="1" customWidth="1"/>
    <col min="4" max="4" width="9.6640625" bestFit="1" customWidth="1"/>
    <col min="5" max="5" width="9.44140625" bestFit="1" customWidth="1"/>
    <col min="6" max="6" width="11.88671875" bestFit="1" customWidth="1"/>
  </cols>
  <sheetData>
    <row r="1" spans="1:6">
      <c r="C1" s="371" t="s">
        <v>3080</v>
      </c>
      <c r="D1" s="372"/>
      <c r="E1" s="372"/>
      <c r="F1" s="373"/>
    </row>
    <row r="2" spans="1:6">
      <c r="A2" s="1" t="s">
        <v>670</v>
      </c>
      <c r="B2" s="1" t="s">
        <v>2621</v>
      </c>
      <c r="C2" s="1" t="s">
        <v>3076</v>
      </c>
      <c r="D2" s="1" t="s">
        <v>3077</v>
      </c>
      <c r="E2" s="1" t="s">
        <v>3078</v>
      </c>
      <c r="F2" s="1" t="s">
        <v>3079</v>
      </c>
    </row>
    <row r="3" spans="1:6">
      <c r="A3" s="185">
        <v>44621</v>
      </c>
      <c r="B3" s="2">
        <v>5000</v>
      </c>
      <c r="C3" s="53">
        <v>31</v>
      </c>
      <c r="D3" s="53">
        <v>35</v>
      </c>
      <c r="E3" s="53">
        <v>28</v>
      </c>
      <c r="F3" s="53">
        <v>33</v>
      </c>
    </row>
    <row r="4" spans="1:6">
      <c r="A4" s="185">
        <v>44622</v>
      </c>
      <c r="B4" s="2">
        <v>7000</v>
      </c>
      <c r="C4" s="53">
        <v>25</v>
      </c>
      <c r="D4" s="53">
        <v>30</v>
      </c>
      <c r="E4" s="53">
        <v>21</v>
      </c>
      <c r="F4" s="53">
        <v>28</v>
      </c>
    </row>
    <row r="5" spans="1:6">
      <c r="A5" s="185">
        <v>44623</v>
      </c>
      <c r="B5" s="2">
        <v>5500</v>
      </c>
      <c r="C5" s="53">
        <v>24</v>
      </c>
      <c r="D5" s="53">
        <v>29</v>
      </c>
      <c r="E5" s="53">
        <v>22</v>
      </c>
      <c r="F5" s="53">
        <v>24</v>
      </c>
    </row>
    <row r="6" spans="1:6">
      <c r="A6" s="185">
        <v>44624</v>
      </c>
      <c r="B6" s="2">
        <v>6000</v>
      </c>
      <c r="C6" s="53">
        <v>27</v>
      </c>
      <c r="D6" s="53">
        <v>33</v>
      </c>
      <c r="E6" s="53">
        <v>23</v>
      </c>
      <c r="F6" s="53">
        <v>25</v>
      </c>
    </row>
    <row r="7" spans="1:6">
      <c r="A7" s="185">
        <v>44625</v>
      </c>
      <c r="B7" s="2">
        <v>5300</v>
      </c>
      <c r="C7" s="53">
        <v>23</v>
      </c>
      <c r="D7" s="53">
        <v>25</v>
      </c>
      <c r="E7" s="53">
        <v>20</v>
      </c>
      <c r="F7" s="53">
        <v>21</v>
      </c>
    </row>
  </sheetData>
  <mergeCells count="1">
    <mergeCell ref="C1:F1"/>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D688F-2633-41FC-B2FD-72DE8EFDFA24}">
  <sheetPr codeName="Sheet324"/>
  <dimension ref="A1:E7"/>
  <sheetViews>
    <sheetView workbookViewId="0">
      <selection activeCell="A2" sqref="A2"/>
    </sheetView>
  </sheetViews>
  <sheetFormatPr defaultRowHeight="14.4"/>
  <cols>
    <col min="1" max="1" width="5.5546875" bestFit="1" customWidth="1"/>
    <col min="2" max="2" width="7.33203125" bestFit="1" customWidth="1"/>
    <col min="3" max="3" width="9.6640625" bestFit="1" customWidth="1"/>
    <col min="4" max="4" width="9.44140625" bestFit="1" customWidth="1"/>
    <col min="5" max="5" width="11.88671875" bestFit="1" customWidth="1"/>
  </cols>
  <sheetData>
    <row r="1" spans="1:5">
      <c r="C1" s="371" t="s">
        <v>3080</v>
      </c>
      <c r="D1" s="372"/>
      <c r="E1" s="373"/>
    </row>
    <row r="2" spans="1:5">
      <c r="A2" s="1" t="s">
        <v>670</v>
      </c>
      <c r="B2" s="1" t="s">
        <v>2621</v>
      </c>
      <c r="C2" s="1" t="s">
        <v>3077</v>
      </c>
      <c r="D2" s="1" t="s">
        <v>3078</v>
      </c>
      <c r="E2" s="1" t="s">
        <v>3079</v>
      </c>
    </row>
    <row r="3" spans="1:5">
      <c r="A3" s="185">
        <v>44763</v>
      </c>
      <c r="B3" s="2">
        <v>4500</v>
      </c>
      <c r="C3" s="53">
        <v>24.21</v>
      </c>
      <c r="D3" s="53">
        <v>22.66</v>
      </c>
      <c r="E3" s="53">
        <v>21.16</v>
      </c>
    </row>
    <row r="4" spans="1:5">
      <c r="A4" s="185">
        <v>44764</v>
      </c>
      <c r="B4" s="2">
        <v>4800</v>
      </c>
      <c r="C4" s="53">
        <v>25.46</v>
      </c>
      <c r="D4" s="53">
        <v>22.49</v>
      </c>
      <c r="E4" s="53">
        <v>23.29</v>
      </c>
    </row>
    <row r="5" spans="1:5">
      <c r="A5" s="185">
        <v>44765</v>
      </c>
      <c r="B5" s="2">
        <v>5000</v>
      </c>
      <c r="C5" s="53">
        <v>25.99</v>
      </c>
      <c r="D5" s="53">
        <v>23.56</v>
      </c>
      <c r="E5" s="53">
        <v>24.44</v>
      </c>
    </row>
    <row r="6" spans="1:5">
      <c r="A6" s="185">
        <v>44766</v>
      </c>
      <c r="B6" s="2">
        <v>5100</v>
      </c>
      <c r="C6" s="53">
        <v>29.42</v>
      </c>
      <c r="D6" s="53">
        <v>24</v>
      </c>
      <c r="E6" s="53">
        <v>26.59</v>
      </c>
    </row>
    <row r="7" spans="1:5">
      <c r="A7" s="185">
        <v>44767</v>
      </c>
      <c r="B7" s="2">
        <v>6000</v>
      </c>
      <c r="C7" s="53">
        <v>30.23</v>
      </c>
      <c r="D7" s="53">
        <v>26.97</v>
      </c>
      <c r="E7" s="53">
        <v>32</v>
      </c>
    </row>
  </sheetData>
  <mergeCells count="1">
    <mergeCell ref="C1:E1"/>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C788-638F-48A1-934D-F660A5956DD4}">
  <sheetPr codeName="Sheet325"/>
  <dimension ref="A1:F6"/>
  <sheetViews>
    <sheetView workbookViewId="0">
      <selection activeCell="E2" sqref="E2"/>
    </sheetView>
  </sheetViews>
  <sheetFormatPr defaultRowHeight="14.4"/>
  <cols>
    <col min="6" max="6" width="38.88671875" bestFit="1" customWidth="1"/>
  </cols>
  <sheetData>
    <row r="1" spans="1:6">
      <c r="A1" s="1" t="s">
        <v>354</v>
      </c>
      <c r="B1" s="1" t="s">
        <v>357</v>
      </c>
      <c r="D1" s="1" t="s">
        <v>354</v>
      </c>
      <c r="E1" s="1" t="s">
        <v>357</v>
      </c>
      <c r="F1" s="1" t="s">
        <v>1520</v>
      </c>
    </row>
    <row r="2" spans="1:6">
      <c r="A2" s="2" t="s">
        <v>340</v>
      </c>
      <c r="B2" s="2">
        <v>5000</v>
      </c>
      <c r="D2" s="2" t="s">
        <v>341</v>
      </c>
      <c r="E2" s="7">
        <f>LOOKUP(D2,A1:A6,B1:B6)</f>
        <v>5500</v>
      </c>
      <c r="F2" s="65" t="s">
        <v>3086</v>
      </c>
    </row>
    <row r="3" spans="1:6">
      <c r="A3" s="2" t="s">
        <v>342</v>
      </c>
      <c r="B3" s="2">
        <v>5700</v>
      </c>
      <c r="D3" s="2" t="s">
        <v>1685</v>
      </c>
      <c r="E3" s="7">
        <f>LOOKUP(D3,A1:A6,B1:B6)</f>
        <v>5500</v>
      </c>
      <c r="F3" s="65" t="s">
        <v>3087</v>
      </c>
    </row>
    <row r="4" spans="1:6">
      <c r="A4" s="2" t="s">
        <v>341</v>
      </c>
      <c r="B4" s="2">
        <v>5500</v>
      </c>
      <c r="D4" s="2" t="s">
        <v>341</v>
      </c>
      <c r="E4" s="7">
        <f>LOOKUP(D4,A1:B6)</f>
        <v>5500</v>
      </c>
      <c r="F4" s="65" t="s">
        <v>3088</v>
      </c>
    </row>
    <row r="5" spans="1:6">
      <c r="A5" s="2" t="s">
        <v>343</v>
      </c>
      <c r="B5" s="2">
        <v>6000</v>
      </c>
    </row>
    <row r="6" spans="1:6">
      <c r="A6" s="2" t="s">
        <v>346</v>
      </c>
      <c r="B6" s="2">
        <v>6100</v>
      </c>
    </row>
  </sheetData>
  <pageMargins left="0.7" right="0.7" top="0.75" bottom="0.75" header="0.3" footer="0.3"/>
  <pageSetup orientation="portrait" horizontalDpi="4294967293" verticalDpi="0"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D94D-7E78-47C1-B90C-CBD2B75BFAA6}">
  <sheetPr codeName="Sheet326"/>
  <dimension ref="A1:G11"/>
  <sheetViews>
    <sheetView workbookViewId="0">
      <selection activeCell="E2" sqref="E2"/>
    </sheetView>
  </sheetViews>
  <sheetFormatPr defaultRowHeight="14.4"/>
  <cols>
    <col min="1" max="1" width="11.33203125" bestFit="1" customWidth="1"/>
    <col min="2" max="2" width="14.44140625" bestFit="1" customWidth="1"/>
    <col min="3" max="3" width="14" bestFit="1" customWidth="1"/>
    <col min="6" max="6" width="11.33203125" bestFit="1" customWidth="1"/>
    <col min="7" max="7" width="14.33203125" bestFit="1" customWidth="1"/>
  </cols>
  <sheetData>
    <row r="1" spans="1:7">
      <c r="A1" s="1" t="s">
        <v>156</v>
      </c>
      <c r="B1" s="1" t="s">
        <v>240</v>
      </c>
      <c r="C1" s="1" t="s">
        <v>3099</v>
      </c>
      <c r="F1" s="1" t="s">
        <v>156</v>
      </c>
      <c r="G1" s="1" t="s">
        <v>3099</v>
      </c>
    </row>
    <row r="2" spans="1:7">
      <c r="A2" s="2" t="s">
        <v>3089</v>
      </c>
      <c r="B2" s="2" t="s">
        <v>3100</v>
      </c>
      <c r="C2" s="2">
        <v>2319</v>
      </c>
      <c r="F2" s="2" t="s">
        <v>3093</v>
      </c>
      <c r="G2" s="7">
        <f>LOOKUP(F2,A1:C11)</f>
        <v>4513</v>
      </c>
    </row>
    <row r="3" spans="1:7">
      <c r="A3" s="2" t="s">
        <v>3090</v>
      </c>
      <c r="B3" s="2" t="s">
        <v>3101</v>
      </c>
      <c r="C3" s="2">
        <v>2435</v>
      </c>
    </row>
    <row r="4" spans="1:7">
      <c r="A4" s="2" t="s">
        <v>3091</v>
      </c>
      <c r="B4" s="2" t="s">
        <v>3102</v>
      </c>
      <c r="C4" s="2">
        <v>2958</v>
      </c>
    </row>
    <row r="5" spans="1:7">
      <c r="A5" s="2" t="s">
        <v>3092</v>
      </c>
      <c r="B5" s="2" t="s">
        <v>3103</v>
      </c>
      <c r="C5" s="2">
        <v>2601</v>
      </c>
    </row>
    <row r="6" spans="1:7">
      <c r="A6" s="2" t="s">
        <v>3093</v>
      </c>
      <c r="B6" s="2" t="s">
        <v>3104</v>
      </c>
      <c r="C6" s="2">
        <v>4513</v>
      </c>
    </row>
    <row r="7" spans="1:7">
      <c r="A7" s="2" t="s">
        <v>3094</v>
      </c>
      <c r="B7" s="2" t="s">
        <v>3105</v>
      </c>
      <c r="C7" s="2">
        <v>2687</v>
      </c>
    </row>
    <row r="8" spans="1:7">
      <c r="A8" s="2" t="s">
        <v>3095</v>
      </c>
      <c r="B8" s="2" t="s">
        <v>3106</v>
      </c>
      <c r="C8" s="2">
        <v>2196</v>
      </c>
    </row>
    <row r="9" spans="1:7">
      <c r="A9" s="2" t="s">
        <v>3096</v>
      </c>
      <c r="B9" s="2" t="s">
        <v>3107</v>
      </c>
      <c r="C9" s="2">
        <v>2158</v>
      </c>
    </row>
    <row r="10" spans="1:7">
      <c r="A10" s="2" t="s">
        <v>3097</v>
      </c>
      <c r="B10" s="2" t="s">
        <v>3108</v>
      </c>
      <c r="C10" s="2">
        <v>2849</v>
      </c>
    </row>
    <row r="11" spans="1:7">
      <c r="A11" s="2" t="s">
        <v>3098</v>
      </c>
      <c r="B11" s="2" t="s">
        <v>3109</v>
      </c>
      <c r="C11" s="2">
        <v>2370</v>
      </c>
    </row>
  </sheetData>
  <pageMargins left="0.7" right="0.7" top="0.75" bottom="0.75" header="0.3" footer="0.3"/>
  <pageSetup orientation="portrait" horizontalDpi="4294967293" verticalDpi="0"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2945-6DF0-4B4A-B3D6-67070E67F9B0}">
  <sheetPr codeName="Sheet327"/>
  <dimension ref="B1:G7"/>
  <sheetViews>
    <sheetView workbookViewId="0">
      <selection activeCell="E2" sqref="E2"/>
    </sheetView>
  </sheetViews>
  <sheetFormatPr defaultRowHeight="14.4"/>
  <cols>
    <col min="2" max="2" width="22.44140625" bestFit="1" customWidth="1"/>
    <col min="3" max="3" width="23.88671875" bestFit="1" customWidth="1"/>
    <col min="6" max="6" width="20.33203125" bestFit="1" customWidth="1"/>
    <col min="7" max="7" width="24.109375" bestFit="1" customWidth="1"/>
  </cols>
  <sheetData>
    <row r="1" spans="2:7">
      <c r="B1" s="1" t="s">
        <v>130</v>
      </c>
      <c r="C1" s="1" t="s">
        <v>3110</v>
      </c>
      <c r="F1" s="371" t="s">
        <v>3111</v>
      </c>
      <c r="G1" s="373"/>
    </row>
    <row r="2" spans="2:7">
      <c r="B2" s="2" t="s">
        <v>1982</v>
      </c>
      <c r="C2" s="2" t="s">
        <v>3114</v>
      </c>
      <c r="F2" s="1" t="s">
        <v>3112</v>
      </c>
      <c r="G2" s="1" t="s">
        <v>1727</v>
      </c>
    </row>
    <row r="3" spans="2:7">
      <c r="B3" s="2" t="s">
        <v>1979</v>
      </c>
      <c r="C3" s="2" t="s">
        <v>3114</v>
      </c>
      <c r="F3" s="2" t="s">
        <v>130</v>
      </c>
      <c r="G3" s="7" t="str">
        <f>LOOKUP(2,1/(B:B&lt;&gt;""),B:B)</f>
        <v>Samsung Galaxy S21+ 5G</v>
      </c>
    </row>
    <row r="4" spans="2:7">
      <c r="B4" s="2" t="s">
        <v>1978</v>
      </c>
      <c r="C4" s="2" t="s">
        <v>3114</v>
      </c>
      <c r="F4" s="2" t="s">
        <v>3110</v>
      </c>
      <c r="G4" s="7" t="str">
        <f>LOOKUP(2,1/(B:B&lt;&gt;""),C:C)</f>
        <v>Order Yet To Be Dispatched</v>
      </c>
    </row>
    <row r="5" spans="2:7">
      <c r="B5" s="2" t="s">
        <v>1980</v>
      </c>
      <c r="C5" s="2" t="s">
        <v>3114</v>
      </c>
    </row>
    <row r="6" spans="2:7">
      <c r="B6" s="2" t="s">
        <v>3113</v>
      </c>
      <c r="C6" s="2" t="s">
        <v>3115</v>
      </c>
    </row>
    <row r="7" spans="2:7">
      <c r="B7" s="2" t="s">
        <v>1981</v>
      </c>
      <c r="C7" s="2" t="s">
        <v>3115</v>
      </c>
    </row>
  </sheetData>
  <sortState xmlns:xlrd2="http://schemas.microsoft.com/office/spreadsheetml/2017/richdata2" ref="D10:D15">
    <sortCondition ref="D10"/>
  </sortState>
  <mergeCells count="1">
    <mergeCell ref="F1:G1"/>
  </mergeCells>
  <pageMargins left="0.7" right="0.7" top="0.75" bottom="0.75" header="0.3" footer="0.3"/>
  <pageSetup orientation="portrait" horizontalDpi="4294967293" verticalDpi="0"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A2CA-ADBE-48D2-B451-CA3EF5023DE1}">
  <sheetPr codeName="Sheet328"/>
  <dimension ref="A1:K2"/>
  <sheetViews>
    <sheetView workbookViewId="0">
      <selection activeCell="E2" sqref="E2"/>
    </sheetView>
  </sheetViews>
  <sheetFormatPr defaultRowHeight="14.4"/>
  <cols>
    <col min="1" max="1" width="15" bestFit="1" customWidth="1"/>
    <col min="2" max="2" width="13.109375" bestFit="1" customWidth="1"/>
    <col min="5" max="5" width="6.6640625" bestFit="1" customWidth="1"/>
    <col min="6" max="6" width="15" bestFit="1" customWidth="1"/>
    <col min="7" max="11" width="8.6640625" customWidth="1"/>
  </cols>
  <sheetData>
    <row r="1" spans="1:11">
      <c r="A1" s="1" t="s">
        <v>3117</v>
      </c>
      <c r="B1" s="1" t="s">
        <v>3118</v>
      </c>
      <c r="E1" s="369" t="s">
        <v>757</v>
      </c>
      <c r="F1" s="1" t="s">
        <v>3116</v>
      </c>
      <c r="G1" s="2">
        <v>35</v>
      </c>
      <c r="H1" s="2">
        <v>45</v>
      </c>
      <c r="I1" s="2">
        <v>55</v>
      </c>
      <c r="J1" s="2">
        <v>65</v>
      </c>
      <c r="K1" s="2">
        <v>75</v>
      </c>
    </row>
    <row r="2" spans="1:11">
      <c r="A2" s="2">
        <v>64</v>
      </c>
      <c r="B2" s="7" t="str">
        <f>LOOKUP(A2,F1:K2)</f>
        <v>C</v>
      </c>
      <c r="E2" s="369"/>
      <c r="F2" s="1" t="s">
        <v>1</v>
      </c>
      <c r="G2" s="2" t="s">
        <v>767</v>
      </c>
      <c r="H2" s="2" t="s">
        <v>765</v>
      </c>
      <c r="I2" s="2" t="s">
        <v>762</v>
      </c>
      <c r="J2" s="2" t="s">
        <v>760</v>
      </c>
      <c r="K2" s="2" t="s">
        <v>758</v>
      </c>
    </row>
  </sheetData>
  <mergeCells count="1">
    <mergeCell ref="E1:E2"/>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48E6-A786-4F23-B351-E07C29D44F9D}">
  <sheetPr codeName="Sheet329"/>
  <dimension ref="A1:G11"/>
  <sheetViews>
    <sheetView workbookViewId="0">
      <selection activeCell="E2" sqref="E2"/>
    </sheetView>
  </sheetViews>
  <sheetFormatPr defaultRowHeight="14.4"/>
  <cols>
    <col min="1" max="1" width="17.6640625" bestFit="1" customWidth="1"/>
    <col min="2" max="2" width="14.33203125" bestFit="1" customWidth="1"/>
    <col min="3" max="3" width="14.44140625" bestFit="1" customWidth="1"/>
    <col min="6" max="6" width="17.6640625" bestFit="1" customWidth="1"/>
    <col min="7" max="7" width="22" bestFit="1" customWidth="1"/>
  </cols>
  <sheetData>
    <row r="1" spans="1:7">
      <c r="A1" s="1" t="s">
        <v>155</v>
      </c>
      <c r="B1" s="1" t="s">
        <v>369</v>
      </c>
      <c r="C1" s="1" t="s">
        <v>370</v>
      </c>
      <c r="F1" s="1" t="s">
        <v>155</v>
      </c>
      <c r="G1" s="1" t="s">
        <v>370</v>
      </c>
    </row>
    <row r="2" spans="1:7">
      <c r="A2" s="2" t="s">
        <v>3123</v>
      </c>
      <c r="B2" s="2" t="s">
        <v>381</v>
      </c>
      <c r="C2" s="2" t="s">
        <v>3120</v>
      </c>
      <c r="F2" s="2" t="s">
        <v>3126</v>
      </c>
      <c r="G2" s="7" t="str">
        <f>LOOKUP(VLOOKUP(F2,$A$1:$C$11,3,0),{"EE";"EP";"ME";"UP"},{"Exceeding Expectation";"Exceptional Performance";"Meets Expectation";"Under Performer"})</f>
        <v>Meets Expectation</v>
      </c>
    </row>
    <row r="3" spans="1:7">
      <c r="A3" s="2" t="s">
        <v>3124</v>
      </c>
      <c r="B3" s="2" t="s">
        <v>382</v>
      </c>
      <c r="C3" s="2" t="s">
        <v>3119</v>
      </c>
      <c r="F3" s="2" t="s">
        <v>3131</v>
      </c>
      <c r="G3" s="7" t="str">
        <f>LOOKUP(VLOOKUP(F3,$A$1:$C$11,3,0),{"EE";"EP";"ME";"UP"},{"Exceeding Expectation";"Exceptional Performance";"Meets Expectation";"Under Performer"})</f>
        <v>Exceeding Expectation</v>
      </c>
    </row>
    <row r="4" spans="1:7">
      <c r="A4" s="2" t="s">
        <v>3125</v>
      </c>
      <c r="B4" s="2" t="s">
        <v>382</v>
      </c>
      <c r="C4" s="2" t="s">
        <v>3120</v>
      </c>
      <c r="F4" s="2" t="s">
        <v>3129</v>
      </c>
      <c r="G4" s="7" t="str">
        <f>LOOKUP(VLOOKUP(F4,$A$1:$C$11,3,0),{"EE";"EP";"ME";"UP"},{"Exceeding Expectation";"Exceptional Performance";"Meets Expectation";"Under Performer"})</f>
        <v>Meets Expectation</v>
      </c>
    </row>
    <row r="5" spans="1:7">
      <c r="A5" s="2" t="s">
        <v>3126</v>
      </c>
      <c r="B5" s="2" t="s">
        <v>383</v>
      </c>
      <c r="C5" s="2" t="s">
        <v>3120</v>
      </c>
      <c r="F5" s="2" t="s">
        <v>3130</v>
      </c>
      <c r="G5" s="7" t="str">
        <f>LOOKUP(VLOOKUP(F5,$A$1:$C$11,3,0),{"EE";"EP";"ME";"UP"},{"Exceeding Expectation";"Exceptional Performance";"Meets Expectation";"Under Performer"})</f>
        <v>Exceptional Performance</v>
      </c>
    </row>
    <row r="6" spans="1:7">
      <c r="A6" s="2" t="s">
        <v>3127</v>
      </c>
      <c r="B6" s="2" t="s">
        <v>381</v>
      </c>
      <c r="C6" s="2" t="s">
        <v>3120</v>
      </c>
      <c r="F6" s="2" t="s">
        <v>3127</v>
      </c>
      <c r="G6" s="7" t="str">
        <f>LOOKUP(VLOOKUP(F6,$A$1:$C$11,3,0),{"EE";"EP";"ME";"UP"},{"Exceeding Expectation";"Exceptional Performance";"Meets Expectation";"Under Performer"})</f>
        <v>Meets Expectation</v>
      </c>
    </row>
    <row r="7" spans="1:7">
      <c r="A7" s="2" t="s">
        <v>3128</v>
      </c>
      <c r="B7" s="2" t="s">
        <v>382</v>
      </c>
      <c r="C7" s="2" t="s">
        <v>3121</v>
      </c>
      <c r="F7" s="2" t="s">
        <v>3132</v>
      </c>
      <c r="G7" s="7" t="str">
        <f>LOOKUP(VLOOKUP(F7,$A$1:$C$11,3,0),{"EE";"EP";"ME";"UP"},{"Exceeding Expectation";"Exceptional Performance";"Meets Expectation";"Under Performer"})</f>
        <v>Exceeding Expectation</v>
      </c>
    </row>
    <row r="8" spans="1:7">
      <c r="A8" s="2" t="s">
        <v>3129</v>
      </c>
      <c r="B8" s="2" t="s">
        <v>3133</v>
      </c>
      <c r="C8" s="2" t="s">
        <v>3120</v>
      </c>
      <c r="F8" s="2" t="s">
        <v>3123</v>
      </c>
      <c r="G8" s="7" t="str">
        <f>LOOKUP(VLOOKUP(F8,$A$1:$C$11,3,0),{"EE";"EP";"ME";"UP"},{"Exceeding Expectation";"Exceptional Performance";"Meets Expectation";"Under Performer"})</f>
        <v>Meets Expectation</v>
      </c>
    </row>
    <row r="9" spans="1:7">
      <c r="A9" s="2" t="s">
        <v>3130</v>
      </c>
      <c r="B9" s="2" t="s">
        <v>383</v>
      </c>
      <c r="C9" s="2" t="s">
        <v>3122</v>
      </c>
      <c r="F9" s="2" t="s">
        <v>3125</v>
      </c>
      <c r="G9" s="7" t="str">
        <f>LOOKUP(VLOOKUP(F9,$A$1:$C$11,3,0),{"EE";"EP";"ME";"UP"},{"Exceeding Expectation";"Exceptional Performance";"Meets Expectation";"Under Performer"})</f>
        <v>Meets Expectation</v>
      </c>
    </row>
    <row r="10" spans="1:7">
      <c r="A10" s="2" t="s">
        <v>3131</v>
      </c>
      <c r="B10" s="2" t="s">
        <v>381</v>
      </c>
      <c r="C10" s="2" t="s">
        <v>3121</v>
      </c>
      <c r="F10" s="2" t="s">
        <v>3128</v>
      </c>
      <c r="G10" s="7" t="str">
        <f>LOOKUP(VLOOKUP(F10,$A$1:$C$11,3,0),{"EE";"EP";"ME";"UP"},{"Exceeding Expectation";"Exceptional Performance";"Meets Expectation";"Under Performer"})</f>
        <v>Exceeding Expectation</v>
      </c>
    </row>
    <row r="11" spans="1:7">
      <c r="A11" s="2" t="s">
        <v>3132</v>
      </c>
      <c r="B11" s="2" t="s">
        <v>383</v>
      </c>
      <c r="C11" s="2" t="s">
        <v>3121</v>
      </c>
      <c r="F11" s="2" t="s">
        <v>3124</v>
      </c>
      <c r="G11" s="7" t="str">
        <f>LOOKUP(VLOOKUP(F11,$A$1:$C$11,3,0),{"EE";"EP";"ME";"UP"},{"Exceeding Expectation";"Exceptional Performance";"Meets Expectation";"Under Performer"})</f>
        <v>Under Performer</v>
      </c>
    </row>
  </sheetData>
  <sortState xmlns:xlrd2="http://schemas.microsoft.com/office/spreadsheetml/2017/richdata2" ref="F2:F11">
    <sortCondition ref="F2"/>
  </sortState>
  <pageMargins left="0.7" right="0.7" top="0.75" bottom="0.75" header="0.3" footer="0.3"/>
  <pageSetup orientation="portrait" horizontalDpi="4294967293" verticalDpi="0"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A3344-AF63-49BB-B553-0E5CB07D229F}">
  <sheetPr codeName="Sheet330"/>
  <dimension ref="A1:B13"/>
  <sheetViews>
    <sheetView workbookViewId="0"/>
  </sheetViews>
  <sheetFormatPr defaultRowHeight="14.4"/>
  <cols>
    <col min="1" max="1" width="8.109375" bestFit="1" customWidth="1"/>
    <col min="2" max="2" width="17.109375" bestFit="1" customWidth="1"/>
    <col min="6" max="6" width="8.109375" bestFit="1" customWidth="1"/>
    <col min="7" max="7" width="17.109375" bestFit="1" customWidth="1"/>
  </cols>
  <sheetData>
    <row r="1" spans="1:2">
      <c r="A1" s="1" t="s">
        <v>3134</v>
      </c>
      <c r="B1" s="1" t="s">
        <v>3143</v>
      </c>
    </row>
    <row r="2" spans="1:2">
      <c r="A2" s="2" t="s">
        <v>3139</v>
      </c>
      <c r="B2" s="53">
        <v>1000000</v>
      </c>
    </row>
    <row r="3" spans="1:2">
      <c r="A3" s="2" t="s">
        <v>3140</v>
      </c>
      <c r="B3" s="53">
        <v>1500000</v>
      </c>
    </row>
    <row r="4" spans="1:2">
      <c r="A4" s="2" t="s">
        <v>3141</v>
      </c>
      <c r="B4" s="53">
        <v>1800000</v>
      </c>
    </row>
    <row r="5" spans="1:2">
      <c r="A5" s="2" t="s">
        <v>3142</v>
      </c>
      <c r="B5" s="53">
        <v>2100000</v>
      </c>
    </row>
    <row r="6" spans="1:2">
      <c r="A6" s="2" t="s">
        <v>3135</v>
      </c>
      <c r="B6" s="53">
        <v>2400000</v>
      </c>
    </row>
    <row r="7" spans="1:2">
      <c r="A7" s="2" t="s">
        <v>3136</v>
      </c>
      <c r="B7" s="53">
        <v>2800000</v>
      </c>
    </row>
    <row r="8" spans="1:2">
      <c r="A8" s="2" t="s">
        <v>3137</v>
      </c>
      <c r="B8" s="53">
        <v>4000000</v>
      </c>
    </row>
    <row r="9" spans="1:2">
      <c r="A9" s="2" t="s">
        <v>3138</v>
      </c>
      <c r="B9" s="53">
        <v>4500000</v>
      </c>
    </row>
    <row r="12" spans="1:2">
      <c r="A12" s="1" t="s">
        <v>3134</v>
      </c>
      <c r="B12" s="1" t="s">
        <v>3143</v>
      </c>
    </row>
    <row r="13" spans="1:2">
      <c r="A13" s="2" t="s">
        <v>3142</v>
      </c>
      <c r="B13" s="67">
        <f>IF(ISBLANK(A13),"Enter A Quarter",LOOKUP(A13,A1:A9,B1:B9))</f>
        <v>2100000</v>
      </c>
    </row>
  </sheetData>
  <pageMargins left="0.7" right="0.7" top="0.75" bottom="0.75" header="0.3" footer="0.3"/>
  <pageSetup orientation="portrait" horizontalDpi="4294967293" verticalDpi="0"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D7B2-6DD9-4711-956E-D18E04E787AC}">
  <sheetPr codeName="Sheet331"/>
  <dimension ref="A1:C16"/>
  <sheetViews>
    <sheetView workbookViewId="0">
      <selection activeCell="C1" sqref="C1"/>
    </sheetView>
  </sheetViews>
  <sheetFormatPr defaultRowHeight="14.4"/>
  <cols>
    <col min="1" max="2" width="16" customWidth="1"/>
    <col min="3" max="3" width="14.109375" customWidth="1"/>
  </cols>
  <sheetData>
    <row r="1" spans="1:3" s="121" customFormat="1" ht="31.5" customHeight="1">
      <c r="A1" s="8" t="s">
        <v>3134</v>
      </c>
      <c r="B1" s="8" t="s">
        <v>387</v>
      </c>
      <c r="C1" s="8" t="s">
        <v>3145</v>
      </c>
    </row>
    <row r="2" spans="1:3">
      <c r="A2" s="2" t="s">
        <v>3146</v>
      </c>
      <c r="B2" s="2" t="s">
        <v>1333</v>
      </c>
      <c r="C2" s="53">
        <v>35000</v>
      </c>
    </row>
    <row r="3" spans="1:3">
      <c r="A3" s="55"/>
      <c r="B3" s="2" t="s">
        <v>3144</v>
      </c>
      <c r="C3" s="53">
        <v>40000</v>
      </c>
    </row>
    <row r="4" spans="1:3">
      <c r="A4" s="55"/>
      <c r="B4" s="2" t="s">
        <v>1893</v>
      </c>
      <c r="C4" s="53">
        <v>51000</v>
      </c>
    </row>
    <row r="5" spans="1:3">
      <c r="A5" s="55"/>
      <c r="B5" s="2"/>
      <c r="C5" s="53"/>
    </row>
    <row r="6" spans="1:3">
      <c r="A6" s="2" t="s">
        <v>3147</v>
      </c>
      <c r="B6" s="2" t="s">
        <v>1333</v>
      </c>
      <c r="C6" s="53">
        <v>45000</v>
      </c>
    </row>
    <row r="7" spans="1:3">
      <c r="A7" s="55"/>
      <c r="B7" s="2" t="s">
        <v>3144</v>
      </c>
      <c r="C7" s="53">
        <v>53000</v>
      </c>
    </row>
    <row r="8" spans="1:3">
      <c r="A8" s="55"/>
      <c r="B8" s="2" t="s">
        <v>1893</v>
      </c>
      <c r="C8" s="53">
        <v>60000</v>
      </c>
    </row>
    <row r="9" spans="1:3">
      <c r="A9" s="55"/>
      <c r="B9" s="2"/>
      <c r="C9" s="53"/>
    </row>
    <row r="10" spans="1:3">
      <c r="A10" s="2" t="s">
        <v>3148</v>
      </c>
      <c r="B10" s="2" t="s">
        <v>1333</v>
      </c>
      <c r="C10" s="53">
        <v>60000</v>
      </c>
    </row>
    <row r="11" spans="1:3">
      <c r="A11" s="55"/>
      <c r="B11" s="2" t="s">
        <v>3144</v>
      </c>
      <c r="C11" s="53">
        <v>68000</v>
      </c>
    </row>
    <row r="12" spans="1:3">
      <c r="A12" s="123"/>
      <c r="B12" s="2" t="s">
        <v>1893</v>
      </c>
      <c r="C12" s="53">
        <v>51000</v>
      </c>
    </row>
    <row r="13" spans="1:3">
      <c r="A13" s="123"/>
      <c r="B13" s="2"/>
      <c r="C13" s="53"/>
    </row>
    <row r="14" spans="1:3">
      <c r="A14" s="2" t="s">
        <v>3149</v>
      </c>
      <c r="B14" s="2" t="s">
        <v>1333</v>
      </c>
      <c r="C14" s="53">
        <v>35000</v>
      </c>
    </row>
    <row r="15" spans="1:3">
      <c r="A15" s="55"/>
      <c r="B15" s="2" t="s">
        <v>3144</v>
      </c>
      <c r="C15" s="53">
        <v>43000</v>
      </c>
    </row>
    <row r="16" spans="1:3">
      <c r="A16" s="55"/>
      <c r="B16" s="2" t="s">
        <v>1893</v>
      </c>
      <c r="C16" s="53">
        <v>53000</v>
      </c>
    </row>
  </sheetData>
  <pageMargins left="0.7" right="0.7" top="0.75" bottom="0.75" header="0.3" footer="0.3"/>
  <pageSetup orientation="portrait" horizontalDpi="4294967293" verticalDpi="0"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7687-19C7-4BFE-9759-A160D108D74D}">
  <sheetPr codeName="Sheet332"/>
  <dimension ref="A1:C17"/>
  <sheetViews>
    <sheetView workbookViewId="0">
      <selection activeCell="E1" sqref="E1:G18"/>
    </sheetView>
  </sheetViews>
  <sheetFormatPr defaultRowHeight="14.4"/>
  <cols>
    <col min="3" max="3" width="12.33203125" bestFit="1" customWidth="1"/>
    <col min="7" max="7" width="12.33203125" bestFit="1" customWidth="1"/>
  </cols>
  <sheetData>
    <row r="1" spans="1:3">
      <c r="A1" s="1" t="s">
        <v>33</v>
      </c>
      <c r="B1" s="1" t="s">
        <v>3150</v>
      </c>
      <c r="C1" s="1" t="s">
        <v>3155</v>
      </c>
    </row>
    <row r="2" spans="1:3">
      <c r="A2" s="2">
        <v>2018</v>
      </c>
      <c r="B2" s="2" t="s">
        <v>3152</v>
      </c>
      <c r="C2" s="53">
        <v>1000</v>
      </c>
    </row>
    <row r="3" spans="1:3">
      <c r="A3" s="2">
        <v>2019</v>
      </c>
      <c r="B3" s="2" t="s">
        <v>3152</v>
      </c>
      <c r="C3" s="53">
        <v>2500</v>
      </c>
    </row>
    <row r="4" spans="1:3">
      <c r="A4" s="2">
        <v>2020</v>
      </c>
      <c r="B4" s="2" t="s">
        <v>3152</v>
      </c>
      <c r="C4" s="53">
        <v>1500</v>
      </c>
    </row>
    <row r="5" spans="1:3">
      <c r="A5" s="2">
        <v>2021</v>
      </c>
      <c r="B5" s="2" t="s">
        <v>3152</v>
      </c>
      <c r="C5" s="53">
        <v>3000</v>
      </c>
    </row>
    <row r="6" spans="1:3">
      <c r="A6" s="2">
        <v>2018</v>
      </c>
      <c r="B6" s="2" t="s">
        <v>3151</v>
      </c>
      <c r="C6" s="53">
        <v>2000</v>
      </c>
    </row>
    <row r="7" spans="1:3">
      <c r="A7" s="2">
        <v>2019</v>
      </c>
      <c r="B7" s="2" t="s">
        <v>3151</v>
      </c>
      <c r="C7" s="53">
        <v>3000</v>
      </c>
    </row>
    <row r="8" spans="1:3">
      <c r="A8" s="2">
        <v>2020</v>
      </c>
      <c r="B8" s="2" t="s">
        <v>3151</v>
      </c>
      <c r="C8" s="53">
        <v>900</v>
      </c>
    </row>
    <row r="9" spans="1:3">
      <c r="A9" s="2">
        <v>2021</v>
      </c>
      <c r="B9" s="2" t="s">
        <v>3151</v>
      </c>
      <c r="C9" s="53">
        <v>4500</v>
      </c>
    </row>
    <row r="10" spans="1:3">
      <c r="A10" s="2">
        <v>2018</v>
      </c>
      <c r="B10" s="2" t="s">
        <v>3153</v>
      </c>
      <c r="C10" s="53">
        <v>1300</v>
      </c>
    </row>
    <row r="11" spans="1:3">
      <c r="A11" s="2">
        <v>2019</v>
      </c>
      <c r="B11" s="2" t="s">
        <v>3153</v>
      </c>
      <c r="C11" s="53">
        <v>1800</v>
      </c>
    </row>
    <row r="12" spans="1:3">
      <c r="A12" s="2">
        <v>2020</v>
      </c>
      <c r="B12" s="2" t="s">
        <v>3153</v>
      </c>
      <c r="C12" s="53">
        <v>1000</v>
      </c>
    </row>
    <row r="13" spans="1:3">
      <c r="A13" s="2">
        <v>2021</v>
      </c>
      <c r="B13" s="2" t="s">
        <v>3153</v>
      </c>
      <c r="C13" s="53">
        <v>2500</v>
      </c>
    </row>
    <row r="14" spans="1:3">
      <c r="A14" s="2">
        <v>2018</v>
      </c>
      <c r="B14" s="2" t="s">
        <v>3154</v>
      </c>
      <c r="C14" s="53">
        <v>3500</v>
      </c>
    </row>
    <row r="15" spans="1:3">
      <c r="A15" s="2">
        <v>2019</v>
      </c>
      <c r="B15" s="2" t="s">
        <v>3154</v>
      </c>
      <c r="C15" s="53">
        <v>4000</v>
      </c>
    </row>
    <row r="16" spans="1:3">
      <c r="A16" s="2">
        <v>2020</v>
      </c>
      <c r="B16" s="2" t="s">
        <v>3154</v>
      </c>
      <c r="C16" s="53">
        <v>1900</v>
      </c>
    </row>
    <row r="17" spans="1:3">
      <c r="A17" s="2">
        <v>2021</v>
      </c>
      <c r="B17" s="2" t="s">
        <v>3154</v>
      </c>
      <c r="C17" s="53">
        <v>5500</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A2A9-9CC5-451C-91C0-4D88C536998A}">
  <sheetPr codeName="Sheet333"/>
  <dimension ref="A1:C20"/>
  <sheetViews>
    <sheetView workbookViewId="0">
      <selection activeCell="C1" sqref="C1"/>
    </sheetView>
  </sheetViews>
  <sheetFormatPr defaultRowHeight="14.4"/>
  <cols>
    <col min="3" max="3" width="12.332031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sortState xmlns:xlrd2="http://schemas.microsoft.com/office/spreadsheetml/2017/richdata2" ref="A2:C20">
    <sortCondition ref="A2"/>
  </sortState>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489-108C-472C-A874-7CBA2941E001}">
  <sheetPr codeName="Sheet334"/>
  <dimension ref="A1:C20"/>
  <sheetViews>
    <sheetView workbookViewId="0">
      <selection activeCell="C1" sqref="C1"/>
    </sheetView>
  </sheetViews>
  <sheetFormatPr defaultRowHeight="14.4"/>
  <cols>
    <col min="3" max="3" width="12.332031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EFE-9EDC-4884-AA67-C113C4828B20}">
  <sheetPr codeName="Sheet335"/>
  <dimension ref="A1:C24"/>
  <sheetViews>
    <sheetView zoomScale="80" zoomScaleNormal="80" workbookViewId="0">
      <selection activeCell="C1" sqref="C1"/>
    </sheetView>
  </sheetViews>
  <sheetFormatPr defaultRowHeight="14.4"/>
  <cols>
    <col min="1" max="1" width="6.5546875" bestFit="1" customWidth="1"/>
    <col min="2" max="2" width="7.33203125" bestFit="1" customWidth="1"/>
    <col min="3" max="3" width="25.88671875" bestFit="1" customWidth="1"/>
  </cols>
  <sheetData>
    <row r="1" spans="1:3">
      <c r="A1" s="1" t="s">
        <v>32</v>
      </c>
      <c r="B1" s="1" t="s">
        <v>352</v>
      </c>
      <c r="C1" s="1" t="s">
        <v>3156</v>
      </c>
    </row>
    <row r="2" spans="1:3">
      <c r="A2" s="2" t="s">
        <v>307</v>
      </c>
      <c r="B2" s="2" t="s">
        <v>349</v>
      </c>
      <c r="C2" s="2">
        <v>2800</v>
      </c>
    </row>
    <row r="3" spans="1:3">
      <c r="A3" s="2"/>
      <c r="B3" s="2" t="s">
        <v>351</v>
      </c>
      <c r="C3" s="2">
        <v>500</v>
      </c>
    </row>
    <row r="4" spans="1:3">
      <c r="A4" s="2"/>
      <c r="B4" s="2" t="s">
        <v>348</v>
      </c>
      <c r="C4" s="2">
        <v>3000</v>
      </c>
    </row>
    <row r="5" spans="1:3">
      <c r="A5" s="2"/>
      <c r="B5" s="2"/>
      <c r="C5" s="2"/>
    </row>
    <row r="6" spans="1:3">
      <c r="A6" s="2" t="s">
        <v>308</v>
      </c>
      <c r="B6" s="2" t="s">
        <v>349</v>
      </c>
      <c r="C6" s="2">
        <v>2500</v>
      </c>
    </row>
    <row r="7" spans="1:3">
      <c r="A7" s="2"/>
      <c r="B7" s="2" t="s">
        <v>351</v>
      </c>
      <c r="C7" s="2">
        <v>1000</v>
      </c>
    </row>
    <row r="8" spans="1:3">
      <c r="A8" s="2"/>
      <c r="B8" s="2" t="s">
        <v>348</v>
      </c>
      <c r="C8" s="2">
        <v>4100</v>
      </c>
    </row>
    <row r="9" spans="1:3">
      <c r="A9" s="2"/>
      <c r="B9" s="2"/>
      <c r="C9" s="2"/>
    </row>
    <row r="10" spans="1:3">
      <c r="A10" s="2" t="s">
        <v>309</v>
      </c>
      <c r="B10" s="2" t="s">
        <v>349</v>
      </c>
      <c r="C10" s="2">
        <v>1900</v>
      </c>
    </row>
    <row r="11" spans="1:3">
      <c r="A11" s="2"/>
      <c r="B11" s="2" t="s">
        <v>351</v>
      </c>
      <c r="C11" s="2">
        <v>1300</v>
      </c>
    </row>
    <row r="12" spans="1:3">
      <c r="A12" s="2"/>
      <c r="B12" s="2" t="s">
        <v>348</v>
      </c>
      <c r="C12" s="2">
        <v>4200</v>
      </c>
    </row>
    <row r="13" spans="1:3">
      <c r="A13" s="2"/>
      <c r="B13" s="2"/>
      <c r="C13" s="2"/>
    </row>
    <row r="14" spans="1:3">
      <c r="A14" s="2" t="s">
        <v>310</v>
      </c>
      <c r="B14" s="2" t="s">
        <v>349</v>
      </c>
      <c r="C14" s="2">
        <v>2000</v>
      </c>
    </row>
    <row r="15" spans="1:3">
      <c r="A15" s="2"/>
      <c r="B15" s="2" t="s">
        <v>351</v>
      </c>
      <c r="C15" s="2">
        <v>1200</v>
      </c>
    </row>
    <row r="16" spans="1:3">
      <c r="A16" s="2"/>
      <c r="B16" s="2" t="s">
        <v>348</v>
      </c>
      <c r="C16" s="2">
        <v>3300</v>
      </c>
    </row>
    <row r="17" spans="1:3">
      <c r="A17" s="2"/>
      <c r="B17" s="2"/>
      <c r="C17" s="2"/>
    </row>
    <row r="18" spans="1:3">
      <c r="A18" s="2" t="s">
        <v>51</v>
      </c>
      <c r="B18" s="2" t="s">
        <v>349</v>
      </c>
      <c r="C18" s="2">
        <v>2400</v>
      </c>
    </row>
    <row r="19" spans="1:3">
      <c r="A19" s="2"/>
      <c r="B19" s="2" t="s">
        <v>351</v>
      </c>
      <c r="C19" s="2">
        <v>1900</v>
      </c>
    </row>
    <row r="20" spans="1:3">
      <c r="A20" s="2"/>
      <c r="B20" s="2" t="s">
        <v>348</v>
      </c>
      <c r="C20" s="2">
        <v>3900</v>
      </c>
    </row>
    <row r="21" spans="1:3">
      <c r="A21" s="2"/>
      <c r="B21" s="2"/>
      <c r="C21" s="2"/>
    </row>
    <row r="22" spans="1:3">
      <c r="A22" s="2" t="s">
        <v>311</v>
      </c>
      <c r="B22" s="2" t="s">
        <v>349</v>
      </c>
      <c r="C22" s="2">
        <v>2900</v>
      </c>
    </row>
    <row r="23" spans="1:3">
      <c r="A23" s="2"/>
      <c r="B23" s="2" t="s">
        <v>351</v>
      </c>
      <c r="C23" s="2">
        <v>1500</v>
      </c>
    </row>
    <row r="24" spans="1:3">
      <c r="A24" s="2"/>
      <c r="B24" s="2" t="s">
        <v>348</v>
      </c>
      <c r="C24" s="2">
        <v>2500</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C72-1245-4385-AF9C-6449DEF07123}">
  <sheetPr codeName="Sheet336"/>
  <dimension ref="A1:C16"/>
  <sheetViews>
    <sheetView workbookViewId="0">
      <selection activeCell="C1" sqref="C1"/>
    </sheetView>
  </sheetViews>
  <sheetFormatPr defaultRowHeight="14.4"/>
  <cols>
    <col min="1" max="1" width="6.5546875" bestFit="1" customWidth="1"/>
    <col min="2" max="2" width="7.44140625" bestFit="1" customWidth="1"/>
    <col min="3" max="3" width="17.109375" bestFit="1" customWidth="1"/>
  </cols>
  <sheetData>
    <row r="1" spans="1:3">
      <c r="A1" s="1" t="s">
        <v>3157</v>
      </c>
      <c r="B1" s="1" t="s">
        <v>0</v>
      </c>
      <c r="C1" s="1" t="s">
        <v>3164</v>
      </c>
    </row>
    <row r="2" spans="1:3">
      <c r="A2" s="2" t="s">
        <v>3158</v>
      </c>
      <c r="B2" s="2" t="s">
        <v>398</v>
      </c>
      <c r="C2" s="2">
        <v>89</v>
      </c>
    </row>
    <row r="3" spans="1:3">
      <c r="A3" s="2"/>
      <c r="B3" s="2" t="s">
        <v>3160</v>
      </c>
      <c r="C3" s="2">
        <v>87</v>
      </c>
    </row>
    <row r="4" spans="1:3">
      <c r="A4" s="2"/>
      <c r="B4" s="2" t="s">
        <v>3159</v>
      </c>
      <c r="C4" s="2">
        <v>90</v>
      </c>
    </row>
    <row r="5" spans="1:3">
      <c r="A5" s="2"/>
      <c r="B5" s="2"/>
      <c r="C5" s="2"/>
    </row>
    <row r="6" spans="1:3">
      <c r="A6" s="2" t="s">
        <v>3161</v>
      </c>
      <c r="B6" s="2" t="s">
        <v>398</v>
      </c>
      <c r="C6" s="2">
        <v>95</v>
      </c>
    </row>
    <row r="7" spans="1:3">
      <c r="A7" s="2"/>
      <c r="B7" s="2" t="s">
        <v>3160</v>
      </c>
      <c r="C7" s="2">
        <v>96</v>
      </c>
    </row>
    <row r="8" spans="1:3">
      <c r="A8" s="2"/>
      <c r="B8" s="2" t="s">
        <v>3159</v>
      </c>
      <c r="C8" s="2">
        <v>94</v>
      </c>
    </row>
    <row r="9" spans="1:3">
      <c r="A9" s="2"/>
      <c r="B9" s="2"/>
      <c r="C9" s="2"/>
    </row>
    <row r="10" spans="1:3">
      <c r="A10" s="2" t="s">
        <v>3162</v>
      </c>
      <c r="B10" s="2" t="s">
        <v>398</v>
      </c>
      <c r="C10" s="2">
        <v>75</v>
      </c>
    </row>
    <row r="11" spans="1:3">
      <c r="A11" s="2"/>
      <c r="B11" s="2" t="s">
        <v>3160</v>
      </c>
      <c r="C11" s="2">
        <v>99</v>
      </c>
    </row>
    <row r="12" spans="1:3">
      <c r="A12" s="2"/>
      <c r="B12" s="2" t="s">
        <v>3159</v>
      </c>
      <c r="C12" s="2">
        <v>85</v>
      </c>
    </row>
    <row r="13" spans="1:3">
      <c r="A13" s="2"/>
      <c r="B13" s="2"/>
      <c r="C13" s="2"/>
    </row>
    <row r="14" spans="1:3">
      <c r="A14" s="2" t="s">
        <v>3163</v>
      </c>
      <c r="B14" s="2" t="s">
        <v>398</v>
      </c>
      <c r="C14" s="2">
        <v>100</v>
      </c>
    </row>
    <row r="15" spans="1:3">
      <c r="A15" s="2"/>
      <c r="B15" s="2" t="s">
        <v>3160</v>
      </c>
      <c r="C15" s="2">
        <v>97</v>
      </c>
    </row>
    <row r="16" spans="1:3">
      <c r="A16" s="2"/>
      <c r="B16" s="2" t="s">
        <v>3159</v>
      </c>
      <c r="C16" s="2">
        <v>84</v>
      </c>
    </row>
  </sheetData>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E573-D904-4AA4-8069-C9B02037B52D}">
  <sheetPr codeName="Sheet337"/>
  <dimension ref="A1:C12"/>
  <sheetViews>
    <sheetView workbookViewId="0"/>
  </sheetViews>
  <sheetFormatPr defaultRowHeight="14.4"/>
  <cols>
    <col min="1" max="1" width="6.5546875" bestFit="1" customWidth="1"/>
    <col min="2" max="2" width="10.44140625" bestFit="1" customWidth="1"/>
    <col min="3" max="3" width="17" bestFit="1" customWidth="1"/>
  </cols>
  <sheetData>
    <row r="1" spans="1:3">
      <c r="A1" s="1" t="s">
        <v>32</v>
      </c>
      <c r="B1" s="1" t="s">
        <v>1891</v>
      </c>
      <c r="C1" s="1" t="s">
        <v>3168</v>
      </c>
    </row>
    <row r="2" spans="1:3">
      <c r="A2" s="2" t="s">
        <v>50</v>
      </c>
      <c r="B2" s="2" t="s">
        <v>3165</v>
      </c>
      <c r="C2" s="2">
        <v>5000</v>
      </c>
    </row>
    <row r="3" spans="1:3">
      <c r="A3" s="2"/>
      <c r="B3" s="2" t="s">
        <v>3166</v>
      </c>
      <c r="C3" s="2">
        <v>5500</v>
      </c>
    </row>
    <row r="4" spans="1:3">
      <c r="A4" s="2"/>
      <c r="B4" s="2" t="s">
        <v>3167</v>
      </c>
      <c r="C4" s="2">
        <v>4300</v>
      </c>
    </row>
    <row r="5" spans="1:3">
      <c r="A5" s="2"/>
      <c r="B5" s="2"/>
      <c r="C5" s="2"/>
    </row>
    <row r="6" spans="1:3">
      <c r="A6" s="2" t="s">
        <v>51</v>
      </c>
      <c r="B6" s="2" t="s">
        <v>3165</v>
      </c>
      <c r="C6" s="2">
        <v>1900</v>
      </c>
    </row>
    <row r="7" spans="1:3">
      <c r="A7" s="2"/>
      <c r="B7" s="2" t="s">
        <v>3166</v>
      </c>
      <c r="C7" s="2">
        <v>2300</v>
      </c>
    </row>
    <row r="8" spans="1:3">
      <c r="A8" s="2"/>
      <c r="B8" s="2" t="s">
        <v>3167</v>
      </c>
      <c r="C8" s="2">
        <v>2900</v>
      </c>
    </row>
    <row r="9" spans="1:3">
      <c r="A9" s="2"/>
      <c r="B9" s="2"/>
      <c r="C9" s="2"/>
    </row>
    <row r="10" spans="1:3">
      <c r="A10" s="2" t="s">
        <v>52</v>
      </c>
      <c r="B10" s="2" t="s">
        <v>3165</v>
      </c>
      <c r="C10" s="2">
        <v>1780</v>
      </c>
    </row>
    <row r="11" spans="1:3">
      <c r="A11" s="2"/>
      <c r="B11" s="2" t="s">
        <v>3166</v>
      </c>
      <c r="C11" s="2">
        <v>1470</v>
      </c>
    </row>
    <row r="12" spans="1:3">
      <c r="A12" s="2"/>
      <c r="B12" s="2" t="s">
        <v>3167</v>
      </c>
      <c r="C12" s="2">
        <v>1320</v>
      </c>
    </row>
  </sheetData>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89D0-2FF3-4E2E-B8C6-45A8390465B7}">
  <sheetPr codeName="Sheet338"/>
  <dimension ref="A1:C9"/>
  <sheetViews>
    <sheetView workbookViewId="0">
      <selection activeCell="C15" sqref="C15"/>
    </sheetView>
  </sheetViews>
  <sheetFormatPr defaultRowHeight="14.4"/>
  <cols>
    <col min="1" max="1" width="7.5546875" customWidth="1"/>
    <col min="2" max="2" width="24.5546875" customWidth="1"/>
    <col min="3" max="3" width="13.88671875" bestFit="1" customWidth="1"/>
  </cols>
  <sheetData>
    <row r="1" spans="1:3">
      <c r="A1" s="1" t="s">
        <v>32</v>
      </c>
      <c r="B1" s="1" t="s">
        <v>3176</v>
      </c>
      <c r="C1" s="1" t="s">
        <v>3178</v>
      </c>
    </row>
    <row r="2" spans="1:3">
      <c r="A2" s="2" t="s">
        <v>307</v>
      </c>
      <c r="B2" s="2" t="s">
        <v>3169</v>
      </c>
      <c r="C2" s="2">
        <v>10</v>
      </c>
    </row>
    <row r="3" spans="1:3">
      <c r="A3" s="2" t="s">
        <v>308</v>
      </c>
      <c r="B3" s="2" t="s">
        <v>3177</v>
      </c>
      <c r="C3" s="2">
        <v>-10</v>
      </c>
    </row>
    <row r="4" spans="1:3">
      <c r="A4" s="2" t="s">
        <v>309</v>
      </c>
      <c r="B4" s="2" t="s">
        <v>3173</v>
      </c>
      <c r="C4" s="2">
        <v>10</v>
      </c>
    </row>
    <row r="5" spans="1:3">
      <c r="A5" s="2" t="s">
        <v>310</v>
      </c>
      <c r="B5" s="2" t="s">
        <v>3170</v>
      </c>
      <c r="C5" s="2">
        <v>-10</v>
      </c>
    </row>
    <row r="6" spans="1:3">
      <c r="A6" s="2" t="s">
        <v>51</v>
      </c>
      <c r="B6" s="2" t="s">
        <v>3174</v>
      </c>
      <c r="C6" s="2">
        <v>10</v>
      </c>
    </row>
    <row r="7" spans="1:3">
      <c r="A7" s="2" t="s">
        <v>311</v>
      </c>
      <c r="B7" s="2" t="s">
        <v>3175</v>
      </c>
      <c r="C7" s="2">
        <v>-10</v>
      </c>
    </row>
    <row r="8" spans="1:3">
      <c r="A8" s="2" t="s">
        <v>312</v>
      </c>
      <c r="B8" s="2" t="s">
        <v>3171</v>
      </c>
      <c r="C8" s="2">
        <v>10</v>
      </c>
    </row>
    <row r="9" spans="1:3">
      <c r="A9" s="2" t="s">
        <v>313</v>
      </c>
      <c r="B9" s="2" t="s">
        <v>3172</v>
      </c>
      <c r="C9" s="2">
        <v>-10</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9A46-FAA4-44D0-B145-6AC1E52364CC}">
  <sheetPr codeName="Sheet339"/>
  <dimension ref="A1:C7"/>
  <sheetViews>
    <sheetView workbookViewId="0">
      <selection activeCell="C15" sqref="C15"/>
    </sheetView>
  </sheetViews>
  <sheetFormatPr defaultRowHeight="14.4"/>
  <cols>
    <col min="1" max="1" width="9.109375" bestFit="1" customWidth="1"/>
    <col min="2" max="2" width="17.33203125" bestFit="1" customWidth="1"/>
  </cols>
  <sheetData>
    <row r="1" spans="1:3">
      <c r="A1" s="1" t="s">
        <v>3179</v>
      </c>
      <c r="B1" s="1" t="s">
        <v>3180</v>
      </c>
      <c r="C1" s="1" t="s">
        <v>3187</v>
      </c>
    </row>
    <row r="2" spans="1:3">
      <c r="A2" s="2" t="s">
        <v>3181</v>
      </c>
      <c r="B2" s="186">
        <v>44635</v>
      </c>
      <c r="C2" s="2">
        <v>5</v>
      </c>
    </row>
    <row r="3" spans="1:3">
      <c r="A3" s="2" t="s">
        <v>3182</v>
      </c>
      <c r="B3" s="186">
        <v>44666</v>
      </c>
      <c r="C3" s="2">
        <v>-5</v>
      </c>
    </row>
    <row r="4" spans="1:3">
      <c r="A4" s="2" t="s">
        <v>3183</v>
      </c>
      <c r="B4" s="186">
        <v>44696</v>
      </c>
      <c r="C4" s="2">
        <v>5</v>
      </c>
    </row>
    <row r="5" spans="1:3">
      <c r="A5" s="2" t="s">
        <v>3184</v>
      </c>
      <c r="B5" s="186">
        <v>44727</v>
      </c>
      <c r="C5" s="2">
        <v>-5</v>
      </c>
    </row>
    <row r="6" spans="1:3">
      <c r="A6" s="2" t="s">
        <v>3185</v>
      </c>
      <c r="B6" s="186">
        <v>44757</v>
      </c>
      <c r="C6" s="2">
        <v>5</v>
      </c>
    </row>
    <row r="7" spans="1:3">
      <c r="A7" s="2" t="s">
        <v>3186</v>
      </c>
      <c r="B7" s="186">
        <v>44788</v>
      </c>
      <c r="C7" s="2">
        <v>-5</v>
      </c>
    </row>
  </sheetData>
  <pageMargins left="0.7" right="0.7" top="0.75" bottom="0.75" header="0.3" footer="0.3"/>
  <pageSetup orientation="portrait" horizontalDpi="4294967293" verticalDpi="0"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5168-643A-4DCA-8701-DB9A197757EB}">
  <sheetPr codeName="Sheet340"/>
  <dimension ref="A1:C13"/>
  <sheetViews>
    <sheetView workbookViewId="0">
      <selection activeCell="C15" sqref="C15"/>
    </sheetView>
  </sheetViews>
  <sheetFormatPr defaultRowHeight="14.4"/>
  <cols>
    <col min="1" max="1" width="12.44140625" bestFit="1" customWidth="1"/>
    <col min="2" max="2" width="19.88671875" bestFit="1" customWidth="1"/>
    <col min="3" max="3" width="6.44140625" bestFit="1" customWidth="1"/>
  </cols>
  <sheetData>
    <row r="1" spans="1:3">
      <c r="A1" s="1" t="s">
        <v>3195</v>
      </c>
      <c r="B1" s="1" t="s">
        <v>3196</v>
      </c>
      <c r="C1" s="1" t="s">
        <v>3187</v>
      </c>
    </row>
    <row r="2" spans="1:3">
      <c r="A2" s="2" t="s">
        <v>307</v>
      </c>
      <c r="B2" s="2" t="s">
        <v>3188</v>
      </c>
      <c r="C2" s="2">
        <v>5</v>
      </c>
    </row>
    <row r="3" spans="1:3">
      <c r="A3" s="2" t="s">
        <v>308</v>
      </c>
      <c r="B3" s="2"/>
      <c r="C3" s="2"/>
    </row>
    <row r="4" spans="1:3">
      <c r="A4" s="2" t="s">
        <v>309</v>
      </c>
      <c r="B4" s="2" t="s">
        <v>3189</v>
      </c>
      <c r="C4" s="2">
        <v>-5</v>
      </c>
    </row>
    <row r="5" spans="1:3">
      <c r="A5" s="2" t="s">
        <v>310</v>
      </c>
      <c r="B5" s="2" t="s">
        <v>3190</v>
      </c>
      <c r="C5" s="2">
        <v>5</v>
      </c>
    </row>
    <row r="6" spans="1:3">
      <c r="A6" s="2" t="s">
        <v>51</v>
      </c>
      <c r="B6" s="2"/>
      <c r="C6" s="2"/>
    </row>
    <row r="7" spans="1:3">
      <c r="A7" s="2" t="s">
        <v>311</v>
      </c>
      <c r="B7" s="2" t="s">
        <v>3191</v>
      </c>
      <c r="C7" s="2">
        <v>-5</v>
      </c>
    </row>
    <row r="8" spans="1:3">
      <c r="A8" s="2" t="s">
        <v>312</v>
      </c>
      <c r="B8" s="2"/>
      <c r="C8" s="2"/>
    </row>
    <row r="9" spans="1:3">
      <c r="A9" s="2" t="s">
        <v>313</v>
      </c>
      <c r="B9" s="2"/>
      <c r="C9" s="2"/>
    </row>
    <row r="10" spans="1:3">
      <c r="A10" s="2" t="s">
        <v>314</v>
      </c>
      <c r="B10" s="2" t="s">
        <v>3192</v>
      </c>
      <c r="C10" s="2">
        <v>5</v>
      </c>
    </row>
    <row r="11" spans="1:3">
      <c r="A11" s="2" t="s">
        <v>315</v>
      </c>
      <c r="B11" s="2" t="s">
        <v>3193</v>
      </c>
      <c r="C11" s="2">
        <v>-5</v>
      </c>
    </row>
    <row r="12" spans="1:3">
      <c r="A12" s="2" t="s">
        <v>316</v>
      </c>
      <c r="B12" s="2"/>
      <c r="C12" s="2"/>
    </row>
    <row r="13" spans="1:3">
      <c r="A13" s="2" t="s">
        <v>317</v>
      </c>
      <c r="B13" s="2" t="s">
        <v>3194</v>
      </c>
      <c r="C13" s="2">
        <v>5</v>
      </c>
    </row>
  </sheetData>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3650-B62B-41C3-8EE4-FBDADC8D037C}">
  <sheetPr codeName="Sheet341"/>
  <dimension ref="A1:F7"/>
  <sheetViews>
    <sheetView workbookViewId="0">
      <selection activeCell="C15" sqref="C15"/>
    </sheetView>
  </sheetViews>
  <sheetFormatPr defaultRowHeight="14.4"/>
  <cols>
    <col min="1" max="1" width="5.5546875" bestFit="1" customWidth="1"/>
    <col min="2" max="2" width="14.33203125" bestFit="1" customWidth="1"/>
    <col min="3" max="3" width="14.88671875" bestFit="1" customWidth="1"/>
    <col min="4" max="4" width="11.109375" bestFit="1" customWidth="1"/>
    <col min="5" max="5" width="11.88671875" bestFit="1" customWidth="1"/>
  </cols>
  <sheetData>
    <row r="1" spans="1:6">
      <c r="A1" s="1" t="s">
        <v>856</v>
      </c>
      <c r="B1" s="1" t="s">
        <v>3197</v>
      </c>
      <c r="C1" s="1" t="s">
        <v>3198</v>
      </c>
      <c r="D1" s="1" t="s">
        <v>3199</v>
      </c>
      <c r="E1" s="1" t="s">
        <v>3200</v>
      </c>
      <c r="F1" s="1" t="s">
        <v>3187</v>
      </c>
    </row>
    <row r="2" spans="1:6">
      <c r="A2" s="2" t="s">
        <v>3201</v>
      </c>
      <c r="B2" s="2" t="s">
        <v>3207</v>
      </c>
      <c r="C2" s="2">
        <v>35</v>
      </c>
      <c r="D2" s="2">
        <v>35</v>
      </c>
      <c r="E2" s="82">
        <v>1</v>
      </c>
      <c r="F2" s="2">
        <v>0</v>
      </c>
    </row>
    <row r="3" spans="1:6">
      <c r="A3" s="2" t="s">
        <v>3202</v>
      </c>
      <c r="B3" s="2" t="s">
        <v>3211</v>
      </c>
      <c r="C3" s="2">
        <v>50</v>
      </c>
      <c r="D3" s="2">
        <v>40</v>
      </c>
      <c r="E3" s="82">
        <v>0.8</v>
      </c>
      <c r="F3" s="2">
        <v>0</v>
      </c>
    </row>
    <row r="4" spans="1:6">
      <c r="A4" s="2" t="s">
        <v>3203</v>
      </c>
      <c r="B4" s="2" t="s">
        <v>3209</v>
      </c>
      <c r="C4" s="2">
        <v>20</v>
      </c>
      <c r="D4" s="2">
        <v>10</v>
      </c>
      <c r="E4" s="82">
        <v>0.5</v>
      </c>
      <c r="F4" s="2">
        <v>0</v>
      </c>
    </row>
    <row r="5" spans="1:6">
      <c r="A5" s="2" t="s">
        <v>3204</v>
      </c>
      <c r="B5" s="2" t="s">
        <v>3208</v>
      </c>
      <c r="C5" s="2">
        <v>25</v>
      </c>
      <c r="D5" s="2">
        <v>5</v>
      </c>
      <c r="E5" s="82">
        <v>0.2</v>
      </c>
      <c r="F5" s="2">
        <v>0</v>
      </c>
    </row>
    <row r="6" spans="1:6">
      <c r="A6" s="2" t="s">
        <v>3205</v>
      </c>
      <c r="B6" s="2" t="s">
        <v>3210</v>
      </c>
      <c r="C6" s="2">
        <v>15</v>
      </c>
      <c r="D6" s="2">
        <v>0</v>
      </c>
      <c r="E6" s="82">
        <v>0</v>
      </c>
      <c r="F6" s="2">
        <v>0</v>
      </c>
    </row>
    <row r="7" spans="1:6">
      <c r="A7" s="2" t="s">
        <v>3206</v>
      </c>
      <c r="B7" s="2" t="s">
        <v>3194</v>
      </c>
      <c r="C7" s="2">
        <v>10</v>
      </c>
      <c r="D7" s="2">
        <v>0</v>
      </c>
      <c r="E7" s="82">
        <v>0</v>
      </c>
      <c r="F7" s="2">
        <v>0</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7128-B4F1-419E-B8E5-D850475C3C53}">
  <sheetPr codeName="Sheet342"/>
  <dimension ref="A1:C5"/>
  <sheetViews>
    <sheetView workbookViewId="0"/>
  </sheetViews>
  <sheetFormatPr defaultRowHeight="14.4"/>
  <cols>
    <col min="1" max="1" width="12.5546875" bestFit="1" customWidth="1"/>
    <col min="2" max="2" width="9.109375" bestFit="1" customWidth="1"/>
  </cols>
  <sheetData>
    <row r="1" spans="1:3">
      <c r="A1" s="1" t="s">
        <v>3212</v>
      </c>
      <c r="B1" s="1" t="s">
        <v>3179</v>
      </c>
      <c r="C1" s="1" t="s">
        <v>3187</v>
      </c>
    </row>
    <row r="2" spans="1:3">
      <c r="A2" s="2" t="s">
        <v>307</v>
      </c>
      <c r="B2" s="2" t="s">
        <v>3181</v>
      </c>
      <c r="C2" s="2">
        <v>1</v>
      </c>
    </row>
    <row r="3" spans="1:3">
      <c r="A3" s="2" t="s">
        <v>308</v>
      </c>
      <c r="B3" s="2" t="s">
        <v>3182</v>
      </c>
      <c r="C3" s="2">
        <v>-1</v>
      </c>
    </row>
    <row r="4" spans="1:3">
      <c r="A4" s="2" t="s">
        <v>309</v>
      </c>
      <c r="B4" s="2" t="s">
        <v>3183</v>
      </c>
      <c r="C4" s="2">
        <v>1</v>
      </c>
    </row>
    <row r="5" spans="1:3">
      <c r="A5" s="2" t="s">
        <v>310</v>
      </c>
      <c r="B5" s="2" t="s">
        <v>3184</v>
      </c>
      <c r="C5" s="2">
        <v>-1</v>
      </c>
    </row>
  </sheetData>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3269-6FA7-4F05-8C52-A0AA57F3DDFE}">
  <sheetPr codeName="Sheet343"/>
  <dimension ref="A1:J9"/>
  <sheetViews>
    <sheetView workbookViewId="0">
      <selection activeCell="C7" sqref="C7"/>
    </sheetView>
  </sheetViews>
  <sheetFormatPr defaultRowHeight="14.4"/>
  <cols>
    <col min="1" max="1" width="12.6640625" bestFit="1" customWidth="1"/>
    <col min="2" max="2" width="11.88671875" customWidth="1"/>
    <col min="3" max="3" width="7.88671875" bestFit="1" customWidth="1"/>
    <col min="9" max="9" width="4.109375" customWidth="1"/>
  </cols>
  <sheetData>
    <row r="1" spans="1:10" ht="29.1" customHeight="1">
      <c r="A1" s="410" t="s">
        <v>3213</v>
      </c>
      <c r="B1" s="411"/>
      <c r="C1" s="412"/>
      <c r="E1" s="410" t="s">
        <v>3219</v>
      </c>
      <c r="F1" s="411"/>
      <c r="G1" s="411"/>
      <c r="H1" s="412"/>
    </row>
    <row r="2" spans="1:10">
      <c r="A2" s="155"/>
      <c r="C2" s="156"/>
      <c r="E2" s="175">
        <f>C4*C5+C6</f>
        <v>5</v>
      </c>
      <c r="F2" s="7">
        <v>2</v>
      </c>
      <c r="G2" s="7">
        <v>3</v>
      </c>
      <c r="H2" s="178">
        <v>4</v>
      </c>
      <c r="J2" s="131" t="s">
        <v>3221</v>
      </c>
    </row>
    <row r="3" spans="1:10">
      <c r="A3" s="180" t="s">
        <v>622</v>
      </c>
      <c r="B3" s="1" t="s">
        <v>2887</v>
      </c>
      <c r="C3" s="181" t="s">
        <v>1727</v>
      </c>
      <c r="E3" s="175">
        <v>2</v>
      </c>
      <c r="F3" s="7">
        <f t="dataTable" ref="F3:H5" dt2D="1" dtr="1" r1="C4" r2="C5"/>
        <v>7</v>
      </c>
      <c r="G3" s="7">
        <v>9</v>
      </c>
      <c r="H3" s="178">
        <v>11</v>
      </c>
    </row>
    <row r="4" spans="1:10">
      <c r="A4" s="157" t="s">
        <v>3214</v>
      </c>
      <c r="B4" s="2" t="s">
        <v>654</v>
      </c>
      <c r="C4" s="159">
        <v>2</v>
      </c>
      <c r="E4" s="175">
        <v>3</v>
      </c>
      <c r="F4" s="7">
        <v>9</v>
      </c>
      <c r="G4" s="7">
        <v>12</v>
      </c>
      <c r="H4" s="178">
        <v>15</v>
      </c>
      <c r="J4" s="131" t="s">
        <v>3222</v>
      </c>
    </row>
    <row r="5" spans="1:10" ht="15" thickBot="1">
      <c r="A5" s="157" t="s">
        <v>3215</v>
      </c>
      <c r="B5" s="2" t="s">
        <v>3216</v>
      </c>
      <c r="C5" s="159">
        <v>1</v>
      </c>
      <c r="E5" s="176">
        <v>4</v>
      </c>
      <c r="F5" s="177">
        <v>11</v>
      </c>
      <c r="G5" s="177">
        <v>15</v>
      </c>
      <c r="H5" s="179">
        <v>19</v>
      </c>
    </row>
    <row r="6" spans="1:10">
      <c r="A6" s="157" t="s">
        <v>3217</v>
      </c>
      <c r="B6" s="2" t="s">
        <v>2182</v>
      </c>
      <c r="C6" s="159">
        <v>3</v>
      </c>
    </row>
    <row r="7" spans="1:10" ht="15" thickBot="1">
      <c r="A7" s="174" t="s">
        <v>3218</v>
      </c>
      <c r="B7" s="171" t="s">
        <v>657</v>
      </c>
      <c r="C7" s="179">
        <f>C4*C5+C6</f>
        <v>5</v>
      </c>
      <c r="E7" s="131" t="s">
        <v>3220</v>
      </c>
    </row>
    <row r="9" spans="1:10">
      <c r="D9" s="131" t="s">
        <v>3223</v>
      </c>
    </row>
  </sheetData>
  <mergeCells count="2">
    <mergeCell ref="E1:H1"/>
    <mergeCell ref="A1:C1"/>
  </mergeCells>
  <pageMargins left="0.7" right="0.7" top="0.75" bottom="0.75" header="0.3" footer="0.3"/>
  <pageSetup orientation="portrait" horizontalDpi="4294967293" verticalDpi="0"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2DE1-B71C-45A4-BB8A-15D8CA385A43}">
  <sheetPr codeName="Sheet344"/>
  <dimension ref="A1:H9"/>
  <sheetViews>
    <sheetView workbookViewId="0">
      <selection activeCell="C7" sqref="C7"/>
    </sheetView>
  </sheetViews>
  <sheetFormatPr defaultRowHeight="14.4"/>
  <cols>
    <col min="1" max="1" width="26.88671875" bestFit="1" customWidth="1"/>
    <col min="2" max="2" width="10.33203125" customWidth="1"/>
    <col min="4" max="4" width="3" customWidth="1"/>
    <col min="6" max="8" width="9.88671875" bestFit="1" customWidth="1"/>
  </cols>
  <sheetData>
    <row r="1" spans="1:8" ht="15" thickBot="1">
      <c r="A1" s="404" t="s">
        <v>3224</v>
      </c>
      <c r="B1" s="406"/>
      <c r="D1" s="407" t="s">
        <v>3234</v>
      </c>
      <c r="E1" s="408"/>
      <c r="F1" s="408"/>
      <c r="G1" s="408"/>
      <c r="H1" s="409"/>
    </row>
    <row r="2" spans="1:8" ht="15" thickBot="1">
      <c r="A2" s="155"/>
      <c r="B2" s="156"/>
      <c r="D2" s="193"/>
      <c r="E2" s="194"/>
      <c r="F2" s="432" t="s">
        <v>1296</v>
      </c>
      <c r="G2" s="368"/>
      <c r="H2" s="433"/>
    </row>
    <row r="3" spans="1:8">
      <c r="A3" s="187" t="s">
        <v>2887</v>
      </c>
      <c r="B3" s="188" t="s">
        <v>1727</v>
      </c>
      <c r="D3" s="195"/>
      <c r="E3" s="196">
        <f>B4*(1+B5/B6)^(B6*B7)</f>
        <v>6410.1861585429251</v>
      </c>
      <c r="F3" s="2">
        <v>5</v>
      </c>
      <c r="G3" s="2">
        <v>6</v>
      </c>
      <c r="H3" s="159">
        <v>7</v>
      </c>
    </row>
    <row r="4" spans="1:8" ht="14.4" customHeight="1">
      <c r="A4" s="157" t="s">
        <v>3025</v>
      </c>
      <c r="B4" s="190">
        <v>5000</v>
      </c>
      <c r="D4" s="429" t="s">
        <v>3227</v>
      </c>
      <c r="E4" s="83">
        <v>6000</v>
      </c>
      <c r="F4" s="67">
        <f t="dataTable" ref="F4:H8" dt2D="1" dtr="1" r1="B7" r2="B4"/>
        <v>7692.2233902515109</v>
      </c>
      <c r="G4" s="67">
        <v>8084.1063024861051</v>
      </c>
      <c r="H4" s="197">
        <v>8495.9538217153549</v>
      </c>
    </row>
    <row r="5" spans="1:8">
      <c r="A5" s="157" t="s">
        <v>1252</v>
      </c>
      <c r="B5" s="191">
        <v>0.05</v>
      </c>
      <c r="D5" s="430"/>
      <c r="E5" s="83">
        <v>7000</v>
      </c>
      <c r="F5" s="67">
        <v>8974.2606219600948</v>
      </c>
      <c r="G5" s="67">
        <v>9431.4573529004556</v>
      </c>
      <c r="H5" s="197">
        <v>9911.9461253345817</v>
      </c>
    </row>
    <row r="6" spans="1:8">
      <c r="A6" s="157" t="s">
        <v>3225</v>
      </c>
      <c r="B6" s="159">
        <v>4</v>
      </c>
      <c r="D6" s="430"/>
      <c r="E6" s="83">
        <v>8000</v>
      </c>
      <c r="F6" s="67">
        <v>10256.297853668681</v>
      </c>
      <c r="G6" s="67">
        <v>10778.808403314808</v>
      </c>
      <c r="H6" s="197">
        <v>11327.938428953807</v>
      </c>
    </row>
    <row r="7" spans="1:8" ht="15" thickBot="1">
      <c r="A7" s="174" t="s">
        <v>1296</v>
      </c>
      <c r="B7" s="168">
        <v>5</v>
      </c>
      <c r="D7" s="430"/>
      <c r="E7" s="83">
        <v>9000</v>
      </c>
      <c r="F7" s="67">
        <v>11538.335085377266</v>
      </c>
      <c r="G7" s="67">
        <v>12126.159453729158</v>
      </c>
      <c r="H7" s="197">
        <v>12743.930732573033</v>
      </c>
    </row>
    <row r="8" spans="1:8" ht="15" thickBot="1">
      <c r="A8" s="155"/>
      <c r="B8" s="156"/>
      <c r="D8" s="431"/>
      <c r="E8" s="198">
        <v>10000</v>
      </c>
      <c r="F8" s="199">
        <v>12820.37231708585</v>
      </c>
      <c r="G8" s="199">
        <v>13473.510504143509</v>
      </c>
      <c r="H8" s="192">
        <v>14159.923036192258</v>
      </c>
    </row>
    <row r="9" spans="1:8" ht="15" thickBot="1">
      <c r="A9" s="200" t="s">
        <v>3226</v>
      </c>
      <c r="B9" s="201">
        <f>B4*(1+B5/B6)^(B6*B7)</f>
        <v>6410.1861585429251</v>
      </c>
    </row>
  </sheetData>
  <mergeCells count="4">
    <mergeCell ref="A1:B1"/>
    <mergeCell ref="D4:D8"/>
    <mergeCell ref="F2:H2"/>
    <mergeCell ref="D1:H1"/>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C1B-857E-44C3-A9FA-3C220874D256}">
  <sheetPr codeName="Sheet345"/>
  <dimension ref="A1:C7"/>
  <sheetViews>
    <sheetView workbookViewId="0">
      <selection activeCell="C7" sqref="C7"/>
    </sheetView>
  </sheetViews>
  <sheetFormatPr defaultRowHeight="14.4"/>
  <cols>
    <col min="1" max="1" width="26.44140625" bestFit="1" customWidth="1"/>
    <col min="2" max="2" width="10.88671875" bestFit="1" customWidth="1"/>
    <col min="3" max="3" width="12.5546875" bestFit="1" customWidth="1"/>
  </cols>
  <sheetData>
    <row r="1" spans="1:3">
      <c r="A1" s="410" t="s">
        <v>3011</v>
      </c>
      <c r="B1" s="411"/>
      <c r="C1" s="412"/>
    </row>
    <row r="2" spans="1:3">
      <c r="A2" s="155"/>
      <c r="C2" s="156"/>
    </row>
    <row r="3" spans="1:3">
      <c r="A3" s="180" t="s">
        <v>2887</v>
      </c>
      <c r="B3" s="1" t="s">
        <v>1727</v>
      </c>
      <c r="C3" s="181" t="s">
        <v>3233</v>
      </c>
    </row>
    <row r="4" spans="1:3">
      <c r="A4" s="157" t="s">
        <v>1259</v>
      </c>
      <c r="B4" s="158">
        <v>50000</v>
      </c>
      <c r="C4" s="158">
        <f>IF('Two-var Output Sheet'!B3="",'Two-var_Calculation Sheet'!B4,'Two-var Output Sheet'!B3)</f>
        <v>50000</v>
      </c>
    </row>
    <row r="5" spans="1:3">
      <c r="A5" s="157" t="s">
        <v>3228</v>
      </c>
      <c r="B5" s="82">
        <v>0.1</v>
      </c>
      <c r="C5" s="159"/>
    </row>
    <row r="6" spans="1:3">
      <c r="A6" s="157" t="s">
        <v>3229</v>
      </c>
      <c r="B6" s="2">
        <v>60</v>
      </c>
      <c r="C6" s="159">
        <f>IF('Two-var Output Sheet'!B4="",'Two-var_Calculation Sheet'!B6,'Two-var Output Sheet'!B4)</f>
        <v>60</v>
      </c>
    </row>
    <row r="7" spans="1:3" ht="15" thickBot="1">
      <c r="A7" s="174" t="s">
        <v>3022</v>
      </c>
      <c r="B7" s="203">
        <f>PMT(B5/12,B6,B4)</f>
        <v>-1062.3522355634138</v>
      </c>
      <c r="C7" s="168"/>
    </row>
  </sheetData>
  <mergeCells count="1">
    <mergeCell ref="A1:C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B0AE-BE77-49B8-9BA7-C4F68D65971D}">
  <sheetPr codeName="Sheet346"/>
  <dimension ref="A1:H8"/>
  <sheetViews>
    <sheetView workbookViewId="0">
      <selection activeCell="C7" sqref="C7"/>
    </sheetView>
  </sheetViews>
  <sheetFormatPr defaultRowHeight="14.4"/>
  <cols>
    <col min="1" max="1" width="26.44140625" bestFit="1" customWidth="1"/>
    <col min="2" max="2" width="13.44140625" bestFit="1" customWidth="1"/>
    <col min="3" max="3" width="8.88671875" bestFit="1" customWidth="1"/>
    <col min="5" max="8" width="9.5546875" bestFit="1" customWidth="1"/>
  </cols>
  <sheetData>
    <row r="1" spans="1:8" ht="15" thickBot="1">
      <c r="A1" s="437" t="s">
        <v>3011</v>
      </c>
      <c r="B1" s="438"/>
      <c r="D1" s="407" t="s">
        <v>3230</v>
      </c>
      <c r="E1" s="408"/>
      <c r="F1" s="408"/>
      <c r="G1" s="408"/>
      <c r="H1" s="409"/>
    </row>
    <row r="2" spans="1:8">
      <c r="A2" s="180" t="s">
        <v>3231</v>
      </c>
      <c r="B2" s="189" t="s">
        <v>3232</v>
      </c>
      <c r="D2" s="193"/>
      <c r="E2" s="194"/>
      <c r="F2" s="432" t="s">
        <v>1259</v>
      </c>
      <c r="G2" s="368"/>
      <c r="H2" s="433"/>
    </row>
    <row r="3" spans="1:8">
      <c r="A3" s="157" t="s">
        <v>1259</v>
      </c>
      <c r="B3" s="190"/>
      <c r="D3" s="195"/>
      <c r="E3" s="202">
        <f>PMT(10%/12,'Two-var_Calculation Sheet'!C6,'Two-var_Calculation Sheet'!C4)</f>
        <v>-1062.3522355634138</v>
      </c>
      <c r="F3" s="83">
        <v>20000</v>
      </c>
      <c r="G3" s="83">
        <v>30000</v>
      </c>
      <c r="H3" s="190">
        <v>40000</v>
      </c>
    </row>
    <row r="4" spans="1:8" ht="15" thickBot="1">
      <c r="A4" s="174" t="s">
        <v>3229</v>
      </c>
      <c r="B4" s="168"/>
      <c r="D4" s="434" t="s">
        <v>3229</v>
      </c>
      <c r="E4" s="2">
        <v>70</v>
      </c>
      <c r="F4" s="67">
        <f t="dataTable" ref="F4:H8" dt2D="1" dtr="1" r1="B3" r2="B4"/>
        <v>-378.25971154428231</v>
      </c>
      <c r="G4" s="67">
        <v>-567.38956731642338</v>
      </c>
      <c r="H4" s="197">
        <v>-756.51942308856462</v>
      </c>
    </row>
    <row r="5" spans="1:8">
      <c r="D5" s="435"/>
      <c r="E5" s="2">
        <v>80</v>
      </c>
      <c r="F5" s="67">
        <v>-343.52741635471938</v>
      </c>
      <c r="G5" s="67">
        <v>-515.29112453207904</v>
      </c>
      <c r="H5" s="197">
        <v>-687.05483270943876</v>
      </c>
    </row>
    <row r="6" spans="1:8">
      <c r="D6" s="435"/>
      <c r="E6" s="2">
        <v>90</v>
      </c>
      <c r="F6" s="67">
        <v>-316.75852041732435</v>
      </c>
      <c r="G6" s="67">
        <v>-475.13778062598647</v>
      </c>
      <c r="H6" s="197">
        <v>-633.5170408346487</v>
      </c>
    </row>
    <row r="7" spans="1:8">
      <c r="D7" s="435"/>
      <c r="E7" s="2">
        <v>100</v>
      </c>
      <c r="F7" s="67">
        <v>-295.56146094958666</v>
      </c>
      <c r="G7" s="67">
        <v>-443.34219142437996</v>
      </c>
      <c r="H7" s="197">
        <v>-591.12292189917332</v>
      </c>
    </row>
    <row r="8" spans="1:8" ht="15" thickBot="1">
      <c r="D8" s="436"/>
      <c r="E8" s="171">
        <v>110</v>
      </c>
      <c r="F8" s="199">
        <v>-278.4140997792602</v>
      </c>
      <c r="G8" s="199">
        <v>-417.62114966889027</v>
      </c>
      <c r="H8" s="192">
        <v>-556.8281995585204</v>
      </c>
    </row>
  </sheetData>
  <mergeCells count="4">
    <mergeCell ref="D1:H1"/>
    <mergeCell ref="F2:H2"/>
    <mergeCell ref="D4:D8"/>
    <mergeCell ref="A1:B1"/>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F09C-B0DD-4787-A66D-EBA6C574EE4B}">
  <sheetPr codeName="Sheet347"/>
  <dimension ref="A1:H8"/>
  <sheetViews>
    <sheetView workbookViewId="0">
      <selection activeCell="C7" sqref="C7"/>
    </sheetView>
  </sheetViews>
  <sheetFormatPr defaultRowHeight="14.4"/>
  <cols>
    <col min="1" max="1" width="41.5546875" bestFit="1" customWidth="1"/>
    <col min="2" max="2" width="11.44140625" bestFit="1" customWidth="1"/>
    <col min="5" max="5" width="10.88671875" bestFit="1" customWidth="1"/>
    <col min="6" max="7" width="12.44140625" bestFit="1" customWidth="1"/>
    <col min="8" max="8" width="13.5546875" bestFit="1" customWidth="1"/>
  </cols>
  <sheetData>
    <row r="1" spans="1:8" ht="15" thickBot="1">
      <c r="A1" s="369" t="s">
        <v>3235</v>
      </c>
      <c r="B1" s="369"/>
      <c r="D1" s="407" t="s">
        <v>3241</v>
      </c>
      <c r="E1" s="408"/>
      <c r="F1" s="408"/>
      <c r="G1" s="408"/>
      <c r="H1" s="409"/>
    </row>
    <row r="2" spans="1:8">
      <c r="A2" s="155"/>
      <c r="B2" s="156"/>
      <c r="D2" s="193"/>
      <c r="E2" s="194"/>
      <c r="F2" s="432" t="s">
        <v>3239</v>
      </c>
      <c r="G2" s="368"/>
      <c r="H2" s="433"/>
    </row>
    <row r="3" spans="1:8">
      <c r="A3" s="1" t="s">
        <v>2887</v>
      </c>
      <c r="B3" s="1" t="s">
        <v>1727</v>
      </c>
      <c r="D3" s="195"/>
      <c r="E3" s="196">
        <f>FV(B7/12,B5*B6,-B4)</f>
        <v>776411.3972283433</v>
      </c>
      <c r="F3" s="2">
        <v>15</v>
      </c>
      <c r="G3" s="2">
        <v>20</v>
      </c>
      <c r="H3" s="159">
        <v>25</v>
      </c>
    </row>
    <row r="4" spans="1:8">
      <c r="A4" s="2" t="s">
        <v>3236</v>
      </c>
      <c r="B4" s="83">
        <v>5000</v>
      </c>
      <c r="D4" s="434" t="s">
        <v>1291</v>
      </c>
      <c r="E4" s="82">
        <v>0.06</v>
      </c>
      <c r="F4" s="67">
        <f t="dataTable" ref="F4:H8" dt2D="1" dtr="1" r1="B5" r2="B7"/>
        <v>1454093.5622471459</v>
      </c>
      <c r="G4" s="67">
        <v>2310204.4758073268</v>
      </c>
      <c r="H4" s="197">
        <v>3464969.8121621022</v>
      </c>
    </row>
    <row r="5" spans="1:8">
      <c r="A5" s="14" t="s">
        <v>3240</v>
      </c>
      <c r="B5" s="2">
        <v>10</v>
      </c>
      <c r="D5" s="435"/>
      <c r="E5" s="82">
        <v>7.0000000000000007E-2</v>
      </c>
      <c r="F5" s="67">
        <v>1584811.4836065881</v>
      </c>
      <c r="G5" s="67">
        <v>2604633.2991275843</v>
      </c>
      <c r="H5" s="197">
        <v>4050358.4651155462</v>
      </c>
    </row>
    <row r="6" spans="1:8">
      <c r="A6" s="2" t="s">
        <v>3237</v>
      </c>
      <c r="B6" s="2">
        <v>12</v>
      </c>
      <c r="D6" s="435"/>
      <c r="E6" s="82">
        <v>0.08</v>
      </c>
      <c r="F6" s="67">
        <v>1730191.1080575096</v>
      </c>
      <c r="G6" s="67">
        <v>2945102.0781072858</v>
      </c>
      <c r="H6" s="197">
        <v>4755131.972804484</v>
      </c>
    </row>
    <row r="7" spans="1:8">
      <c r="A7" s="2" t="s">
        <v>3238</v>
      </c>
      <c r="B7" s="82">
        <v>0.05</v>
      </c>
      <c r="D7" s="435"/>
      <c r="E7" s="82">
        <v>0.09</v>
      </c>
      <c r="F7" s="67">
        <v>1892028.8449859724</v>
      </c>
      <c r="G7" s="67">
        <v>3339434.3496484295</v>
      </c>
      <c r="H7" s="197">
        <v>5605609.6865892326</v>
      </c>
    </row>
    <row r="8" spans="1:8" ht="15" thickBot="1">
      <c r="A8" s="2" t="s">
        <v>1260</v>
      </c>
      <c r="B8" s="84">
        <f>FV(B7/12,B5*B6,-B4)</f>
        <v>776411.3972283433</v>
      </c>
      <c r="D8" s="436"/>
      <c r="E8" s="204">
        <v>0.1</v>
      </c>
      <c r="F8" s="199">
        <v>2072351.7310391907</v>
      </c>
      <c r="G8" s="199">
        <v>3796844.1799497982</v>
      </c>
      <c r="H8" s="192">
        <v>6634167.0141006205</v>
      </c>
    </row>
  </sheetData>
  <mergeCells count="4">
    <mergeCell ref="A1:B1"/>
    <mergeCell ref="D1:H1"/>
    <mergeCell ref="F2:H2"/>
    <mergeCell ref="D4:D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CCC6C-A63E-40D7-A479-E33220183584}">
  <sheetPr codeName="Sheet348"/>
  <dimension ref="A1:H8"/>
  <sheetViews>
    <sheetView workbookViewId="0">
      <selection sqref="A1:B1"/>
    </sheetView>
  </sheetViews>
  <sheetFormatPr defaultRowHeight="14.4"/>
  <cols>
    <col min="1" max="1" width="21.6640625" bestFit="1" customWidth="1"/>
    <col min="2" max="2" width="9" bestFit="1" customWidth="1"/>
    <col min="4" max="4" width="4.109375" customWidth="1"/>
    <col min="5" max="5" width="10.88671875" bestFit="1" customWidth="1"/>
    <col min="6" max="8" width="12.44140625" bestFit="1" customWidth="1"/>
  </cols>
  <sheetData>
    <row r="1" spans="1:8" ht="15" thickBot="1">
      <c r="A1" s="374" t="s">
        <v>3242</v>
      </c>
      <c r="B1" s="370"/>
      <c r="D1" s="407" t="s">
        <v>3247</v>
      </c>
      <c r="E1" s="408"/>
      <c r="F1" s="408"/>
      <c r="G1" s="408"/>
      <c r="H1" s="409"/>
    </row>
    <row r="2" spans="1:8">
      <c r="A2" s="2" t="s">
        <v>3243</v>
      </c>
      <c r="B2" s="83">
        <v>950000</v>
      </c>
      <c r="D2" s="193"/>
      <c r="E2" s="194"/>
      <c r="F2" s="432" t="s">
        <v>3245</v>
      </c>
      <c r="G2" s="368"/>
      <c r="H2" s="433"/>
    </row>
    <row r="3" spans="1:8">
      <c r="A3" s="2" t="s">
        <v>3244</v>
      </c>
      <c r="B3" s="82">
        <v>0.03</v>
      </c>
      <c r="D3" s="195"/>
      <c r="E3" s="196">
        <f>B2+(B2*B3)-(B2*B4)</f>
        <v>883500</v>
      </c>
      <c r="F3" s="82">
        <v>0.15</v>
      </c>
      <c r="G3" s="82">
        <v>0.2</v>
      </c>
      <c r="H3" s="191">
        <v>0.25</v>
      </c>
    </row>
    <row r="4" spans="1:8">
      <c r="A4" s="2" t="s">
        <v>3245</v>
      </c>
      <c r="B4" s="82">
        <v>0.1</v>
      </c>
      <c r="D4" s="434" t="s">
        <v>3244</v>
      </c>
      <c r="E4" s="15">
        <v>3.5000000000000003E-2</v>
      </c>
      <c r="F4" s="67">
        <f t="dataTable" ref="F4:H8" dt2D="1" dtr="1" r1="B4" r2="B3"/>
        <v>840750</v>
      </c>
      <c r="G4" s="67">
        <v>793250</v>
      </c>
      <c r="H4" s="197">
        <v>745750</v>
      </c>
    </row>
    <row r="5" spans="1:8">
      <c r="A5" s="2" t="s">
        <v>3246</v>
      </c>
      <c r="B5" s="87">
        <f>B2+(B2*B3)-(B2*B4)</f>
        <v>883500</v>
      </c>
      <c r="D5" s="435"/>
      <c r="E5" s="82">
        <v>0.04</v>
      </c>
      <c r="F5" s="67">
        <v>845500</v>
      </c>
      <c r="G5" s="67">
        <v>798000</v>
      </c>
      <c r="H5" s="197">
        <v>750500</v>
      </c>
    </row>
    <row r="6" spans="1:8">
      <c r="D6" s="435"/>
      <c r="E6" s="15">
        <v>4.4999999999999998E-2</v>
      </c>
      <c r="F6" s="67">
        <v>850250</v>
      </c>
      <c r="G6" s="67">
        <v>802750</v>
      </c>
      <c r="H6" s="197">
        <v>755250</v>
      </c>
    </row>
    <row r="7" spans="1:8">
      <c r="D7" s="435"/>
      <c r="E7" s="82">
        <v>0.05</v>
      </c>
      <c r="F7" s="67">
        <v>855000</v>
      </c>
      <c r="G7" s="67">
        <v>807500</v>
      </c>
      <c r="H7" s="197">
        <v>760000</v>
      </c>
    </row>
    <row r="8" spans="1:8" ht="15" thickBot="1">
      <c r="D8" s="436"/>
      <c r="E8" s="205">
        <v>5.5E-2</v>
      </c>
      <c r="F8" s="199">
        <v>859750</v>
      </c>
      <c r="G8" s="199">
        <v>812250</v>
      </c>
      <c r="H8" s="192">
        <v>764750</v>
      </c>
    </row>
  </sheetData>
  <mergeCells count="4">
    <mergeCell ref="A1:B1"/>
    <mergeCell ref="D1:H1"/>
    <mergeCell ref="F2:H2"/>
    <mergeCell ref="D4:D8"/>
  </mergeCells>
  <pageMargins left="0.7" right="0.7" top="0.75" bottom="0.75" header="0.3" footer="0.3"/>
  <pageSetup orientation="portrait" horizontalDpi="4294967293" verticalDpi="0"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3766-3DCE-49EF-B829-D866FB11D387}">
  <sheetPr codeName="Sheet349"/>
  <dimension ref="A1:F7"/>
  <sheetViews>
    <sheetView workbookViewId="0">
      <selection activeCell="F13" sqref="F13"/>
    </sheetView>
  </sheetViews>
  <sheetFormatPr defaultRowHeight="14.4"/>
  <cols>
    <col min="1" max="1" width="20.5546875" bestFit="1" customWidth="1"/>
    <col min="2" max="2" width="13.109375" bestFit="1" customWidth="1"/>
    <col min="4" max="4" width="13.88671875" bestFit="1" customWidth="1"/>
    <col min="5" max="5" width="20.5546875" bestFit="1" customWidth="1"/>
    <col min="6" max="6" width="31.109375" bestFit="1" customWidth="1"/>
  </cols>
  <sheetData>
    <row r="1" spans="1:6" ht="15" thickBot="1">
      <c r="A1" s="407" t="s">
        <v>3248</v>
      </c>
      <c r="B1" s="409"/>
      <c r="D1" s="437" t="s">
        <v>3258</v>
      </c>
      <c r="E1" s="438"/>
    </row>
    <row r="2" spans="1:6" ht="16.2">
      <c r="A2" s="187" t="s">
        <v>3249</v>
      </c>
      <c r="B2" s="188" t="s">
        <v>3253</v>
      </c>
      <c r="D2" s="180" t="s">
        <v>3255</v>
      </c>
      <c r="E2" s="181" t="s">
        <v>3257</v>
      </c>
      <c r="F2" s="221" t="s">
        <v>1520</v>
      </c>
    </row>
    <row r="3" spans="1:6">
      <c r="A3" s="157" t="s">
        <v>3250</v>
      </c>
      <c r="B3" s="159">
        <v>10</v>
      </c>
      <c r="D3" s="157" t="s">
        <v>3254</v>
      </c>
      <c r="E3" s="159">
        <f>B7</f>
        <v>6000</v>
      </c>
      <c r="F3" s="222" t="s">
        <v>3259</v>
      </c>
    </row>
    <row r="4" spans="1:6">
      <c r="A4" s="157" t="s">
        <v>3251</v>
      </c>
      <c r="B4" s="159">
        <v>20</v>
      </c>
      <c r="D4" s="157">
        <v>20</v>
      </c>
      <c r="E4" s="178">
        <f t="dataTable" ref="E4:E7" dt2D="0" dtr="0" r1="B3"/>
        <v>12000</v>
      </c>
      <c r="F4" s="439" t="s">
        <v>3260</v>
      </c>
    </row>
    <row r="5" spans="1:6" ht="15" thickBot="1">
      <c r="A5" s="174" t="s">
        <v>3252</v>
      </c>
      <c r="B5" s="168">
        <v>30</v>
      </c>
      <c r="D5" s="157">
        <v>30</v>
      </c>
      <c r="E5" s="178">
        <v>18000</v>
      </c>
      <c r="F5" s="440"/>
    </row>
    <row r="6" spans="1:6" ht="15" thickBot="1">
      <c r="A6" s="155"/>
      <c r="B6" s="156"/>
      <c r="D6" s="157">
        <v>40</v>
      </c>
      <c r="E6" s="178">
        <v>24000</v>
      </c>
      <c r="F6" s="440"/>
    </row>
    <row r="7" spans="1:6" ht="16.8" thickBot="1">
      <c r="A7" s="200" t="s">
        <v>3256</v>
      </c>
      <c r="B7" s="206">
        <f>B3*B4*B5</f>
        <v>6000</v>
      </c>
      <c r="D7" s="174">
        <v>50</v>
      </c>
      <c r="E7" s="179">
        <v>30000</v>
      </c>
      <c r="F7" s="441"/>
    </row>
  </sheetData>
  <mergeCells count="3">
    <mergeCell ref="F4:F7"/>
    <mergeCell ref="A1:B1"/>
    <mergeCell ref="D1:E1"/>
  </mergeCells>
  <pageMargins left="0.7" right="0.7" top="0.75" bottom="0.75" header="0.3" footer="0.3"/>
  <pageSetup orientation="portrait" horizontalDpi="4294967293" verticalDpi="0"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E96B-289B-4A0E-8660-D87ED3C230CE}">
  <sheetPr codeName="Sheet350"/>
  <dimension ref="A1:E9"/>
  <sheetViews>
    <sheetView workbookViewId="0">
      <selection activeCell="F13" sqref="F13"/>
    </sheetView>
  </sheetViews>
  <sheetFormatPr defaultRowHeight="14.4"/>
  <cols>
    <col min="1" max="1" width="26.88671875" bestFit="1" customWidth="1"/>
    <col min="2" max="2" width="9.5546875" bestFit="1" customWidth="1"/>
    <col min="3" max="3" width="8.6640625"/>
    <col min="4" max="4" width="24.88671875" customWidth="1"/>
    <col min="5" max="5" width="28.109375" customWidth="1"/>
  </cols>
  <sheetData>
    <row r="1" spans="1:5" ht="15" thickBot="1">
      <c r="A1" s="407" t="s">
        <v>3261</v>
      </c>
      <c r="B1" s="409"/>
      <c r="D1" s="437" t="s">
        <v>3262</v>
      </c>
      <c r="E1" s="438"/>
    </row>
    <row r="2" spans="1:5" ht="15" thickBot="1">
      <c r="A2" s="155"/>
      <c r="B2" s="156"/>
      <c r="D2" s="180" t="s">
        <v>3025</v>
      </c>
      <c r="E2" s="181" t="s">
        <v>3226</v>
      </c>
    </row>
    <row r="3" spans="1:5">
      <c r="A3" s="187" t="s">
        <v>2887</v>
      </c>
      <c r="B3" s="188" t="s">
        <v>1727</v>
      </c>
      <c r="D3" s="157" t="s">
        <v>3254</v>
      </c>
      <c r="E3" s="214">
        <f>B9</f>
        <v>6744.2507627465184</v>
      </c>
    </row>
    <row r="4" spans="1:5">
      <c r="A4" s="157" t="s">
        <v>3025</v>
      </c>
      <c r="B4" s="190">
        <v>5000</v>
      </c>
      <c r="D4" s="212">
        <v>6000</v>
      </c>
      <c r="E4" s="197">
        <f t="dataTable" ref="E4:E8" dt2D="0" dtr="0" r1="B4"/>
        <v>8093.1009152958222</v>
      </c>
    </row>
    <row r="5" spans="1:5">
      <c r="A5" s="157" t="s">
        <v>1252</v>
      </c>
      <c r="B5" s="191">
        <v>0.05</v>
      </c>
      <c r="D5" s="212">
        <v>7000</v>
      </c>
      <c r="E5" s="197">
        <v>9441.9510678451261</v>
      </c>
    </row>
    <row r="6" spans="1:5">
      <c r="A6" s="157" t="s">
        <v>3225</v>
      </c>
      <c r="B6" s="159">
        <v>10</v>
      </c>
      <c r="D6" s="212">
        <v>8000</v>
      </c>
      <c r="E6" s="197">
        <v>10790.801220394429</v>
      </c>
    </row>
    <row r="7" spans="1:5" ht="15" thickBot="1">
      <c r="A7" s="174" t="s">
        <v>1296</v>
      </c>
      <c r="B7" s="168">
        <v>6</v>
      </c>
      <c r="D7" s="212">
        <v>9000</v>
      </c>
      <c r="E7" s="197">
        <v>12139.651372943734</v>
      </c>
    </row>
    <row r="8" spans="1:5" ht="15" thickBot="1">
      <c r="A8" s="184"/>
      <c r="B8" s="209"/>
      <c r="D8" s="213">
        <v>10000</v>
      </c>
      <c r="E8" s="192">
        <v>13488.501525493037</v>
      </c>
    </row>
    <row r="9" spans="1:5" ht="15" thickBot="1">
      <c r="A9" s="200" t="s">
        <v>3226</v>
      </c>
      <c r="B9" s="211">
        <f>FV(B5/B6,B7*B6,,-B4)</f>
        <v>6744.2507627465184</v>
      </c>
    </row>
  </sheetData>
  <mergeCells count="2">
    <mergeCell ref="A1:B1"/>
    <mergeCell ref="D1:E1"/>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E1E-4D3F-4B60-81AC-A35E53E1DA33}">
  <sheetPr codeName="Sheet351"/>
  <dimension ref="A1:L16"/>
  <sheetViews>
    <sheetView workbookViewId="0">
      <selection activeCell="F13" sqref="F13"/>
    </sheetView>
  </sheetViews>
  <sheetFormatPr defaultRowHeight="14.4"/>
  <cols>
    <col min="1" max="1" width="23.88671875" bestFit="1" customWidth="1"/>
    <col min="2" max="2" width="12" customWidth="1"/>
    <col min="4" max="4" width="5.5546875" customWidth="1"/>
    <col min="6" max="6" width="15.5546875" bestFit="1" customWidth="1"/>
    <col min="7" max="7" width="19.44140625" bestFit="1" customWidth="1"/>
    <col min="8" max="8" width="17.44140625" bestFit="1" customWidth="1"/>
    <col min="9" max="9" width="15.6640625" bestFit="1" customWidth="1"/>
    <col min="12" max="12" width="11.88671875" bestFit="1" customWidth="1"/>
  </cols>
  <sheetData>
    <row r="1" spans="1:12" ht="15" thickBot="1">
      <c r="A1" s="413" t="s">
        <v>3269</v>
      </c>
      <c r="B1" s="415"/>
      <c r="D1" s="437" t="s">
        <v>3270</v>
      </c>
      <c r="E1" s="445"/>
      <c r="F1" s="445"/>
      <c r="G1" s="445"/>
      <c r="H1" s="445"/>
      <c r="I1" s="438"/>
    </row>
    <row r="2" spans="1:12">
      <c r="A2" s="413" t="s">
        <v>1421</v>
      </c>
      <c r="B2" s="415"/>
      <c r="D2" s="217"/>
      <c r="E2" s="216"/>
      <c r="F2" s="208" t="s">
        <v>1259</v>
      </c>
      <c r="G2" s="207" t="s">
        <v>3022</v>
      </c>
      <c r="H2" s="207" t="s">
        <v>3271</v>
      </c>
      <c r="I2" s="207" t="s">
        <v>3267</v>
      </c>
    </row>
    <row r="3" spans="1:12" ht="15" customHeight="1">
      <c r="A3" s="180" t="s">
        <v>2887</v>
      </c>
      <c r="B3" s="181" t="s">
        <v>1727</v>
      </c>
      <c r="D3" s="442" t="s">
        <v>3268</v>
      </c>
      <c r="E3" s="2"/>
      <c r="F3" s="53">
        <f>B11</f>
        <v>450000</v>
      </c>
      <c r="G3" s="53">
        <f>B12</f>
        <v>3157.4451263586848</v>
      </c>
      <c r="H3" s="53">
        <f>B13</f>
        <v>789361.28158967115</v>
      </c>
      <c r="I3" s="158">
        <f>B14</f>
        <v>339361.28158967115</v>
      </c>
    </row>
    <row r="4" spans="1:12" ht="14.4" customHeight="1">
      <c r="A4" s="157" t="s">
        <v>3263</v>
      </c>
      <c r="B4" s="190">
        <v>500000</v>
      </c>
      <c r="D4" s="443"/>
      <c r="E4" s="15">
        <v>7.0000000000000007E-2</v>
      </c>
      <c r="F4" s="67">
        <f t="dataTable" ref="F4:I8" dt2D="0" dtr="0" r1="B7"/>
        <v>450000</v>
      </c>
      <c r="G4" s="67">
        <v>3425.1552253977675</v>
      </c>
      <c r="H4" s="67">
        <v>856288.80634944187</v>
      </c>
      <c r="I4" s="197">
        <v>406288.80634944187</v>
      </c>
    </row>
    <row r="5" spans="1:12">
      <c r="A5" s="157" t="s">
        <v>3264</v>
      </c>
      <c r="B5" s="191">
        <v>0.1</v>
      </c>
      <c r="D5" s="443"/>
      <c r="E5" s="15">
        <v>0.08</v>
      </c>
      <c r="F5" s="67">
        <v>450000</v>
      </c>
      <c r="G5" s="67">
        <v>3703.3524142052602</v>
      </c>
      <c r="H5" s="67">
        <v>925838.10355131503</v>
      </c>
      <c r="I5" s="197">
        <v>475838.10355131503</v>
      </c>
    </row>
    <row r="6" spans="1:12">
      <c r="A6" s="157" t="s">
        <v>3265</v>
      </c>
      <c r="B6" s="159">
        <v>250</v>
      </c>
      <c r="D6" s="443"/>
      <c r="E6" s="15">
        <v>0.09</v>
      </c>
      <c r="F6" s="67">
        <v>450000</v>
      </c>
      <c r="G6" s="67">
        <v>3991.3981866079657</v>
      </c>
      <c r="H6" s="67">
        <v>997849.54665199143</v>
      </c>
      <c r="I6" s="197">
        <v>547849.54665199143</v>
      </c>
    </row>
    <row r="7" spans="1:12" ht="15" thickBot="1">
      <c r="A7" s="174" t="s">
        <v>3268</v>
      </c>
      <c r="B7" s="215">
        <v>0.06</v>
      </c>
      <c r="D7" s="443"/>
      <c r="E7" s="15">
        <v>0.1</v>
      </c>
      <c r="F7" s="67">
        <v>450000</v>
      </c>
      <c r="G7" s="67">
        <v>4288.6257072282742</v>
      </c>
      <c r="H7" s="67">
        <v>1072156.4268070685</v>
      </c>
      <c r="I7" s="197">
        <v>622156.42680706852</v>
      </c>
    </row>
    <row r="8" spans="1:12" ht="15" thickBot="1">
      <c r="A8" s="155"/>
      <c r="B8" s="156"/>
      <c r="D8" s="444"/>
      <c r="E8" s="205">
        <v>0.11</v>
      </c>
      <c r="F8" s="199">
        <v>450000</v>
      </c>
      <c r="G8" s="199">
        <v>4594.3535880089439</v>
      </c>
      <c r="H8" s="199">
        <v>1148588.397002236</v>
      </c>
      <c r="I8" s="192">
        <v>698588.39700223599</v>
      </c>
    </row>
    <row r="9" spans="1:12">
      <c r="A9" s="413" t="s">
        <v>3266</v>
      </c>
      <c r="B9" s="415"/>
    </row>
    <row r="10" spans="1:12">
      <c r="A10" s="180" t="s">
        <v>2887</v>
      </c>
      <c r="B10" s="181" t="s">
        <v>1727</v>
      </c>
    </row>
    <row r="11" spans="1:12">
      <c r="A11" s="157" t="s">
        <v>1259</v>
      </c>
      <c r="B11" s="197">
        <f>B4*(1-B5)</f>
        <v>450000</v>
      </c>
    </row>
    <row r="12" spans="1:12">
      <c r="A12" s="157" t="s">
        <v>3022</v>
      </c>
      <c r="B12" s="197">
        <f>PMT(B7/12,B6,-B11)</f>
        <v>3157.4451263586848</v>
      </c>
    </row>
    <row r="13" spans="1:12">
      <c r="A13" s="157" t="s">
        <v>3271</v>
      </c>
      <c r="B13" s="197">
        <f>B12*B6</f>
        <v>789361.28158967115</v>
      </c>
    </row>
    <row r="14" spans="1:12" ht="15" thickBot="1">
      <c r="A14" s="174" t="s">
        <v>3267</v>
      </c>
      <c r="B14" s="192">
        <f>B13-B11</f>
        <v>339361.28158967115</v>
      </c>
      <c r="L14" s="85"/>
    </row>
    <row r="16" spans="1:12">
      <c r="L16" s="105"/>
    </row>
  </sheetData>
  <mergeCells count="5">
    <mergeCell ref="A1:B1"/>
    <mergeCell ref="D3:D8"/>
    <mergeCell ref="D1:I1"/>
    <mergeCell ref="A2:B2"/>
    <mergeCell ref="A9:B9"/>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D816-9A11-4050-A8EF-6CC9CE253E67}">
  <sheetPr codeName="Sheet352"/>
  <dimension ref="A1:F8"/>
  <sheetViews>
    <sheetView workbookViewId="0">
      <selection activeCell="F13" sqref="F13"/>
    </sheetView>
  </sheetViews>
  <sheetFormatPr defaultRowHeight="14.4"/>
  <cols>
    <col min="1" max="1" width="15.5546875" bestFit="1" customWidth="1"/>
    <col min="2" max="2" width="9.5546875" bestFit="1" customWidth="1"/>
    <col min="3" max="3" width="9.5546875" customWidth="1"/>
    <col min="4" max="4" width="6.109375" customWidth="1"/>
    <col min="5" max="6" width="20.5546875" customWidth="1"/>
  </cols>
  <sheetData>
    <row r="1" spans="1:6" ht="15" thickBot="1">
      <c r="A1" s="413" t="s">
        <v>3272</v>
      </c>
      <c r="B1" s="415"/>
      <c r="D1" s="407" t="s">
        <v>3276</v>
      </c>
      <c r="E1" s="408"/>
      <c r="F1" s="409"/>
    </row>
    <row r="2" spans="1:6">
      <c r="A2" s="155"/>
      <c r="B2" s="156"/>
      <c r="D2" s="155"/>
      <c r="F2" s="207" t="s">
        <v>3275</v>
      </c>
    </row>
    <row r="3" spans="1:6" ht="14.4" customHeight="1">
      <c r="A3" s="180" t="s">
        <v>2887</v>
      </c>
      <c r="B3" s="181" t="s">
        <v>1727</v>
      </c>
      <c r="D3" s="446" t="s">
        <v>3228</v>
      </c>
      <c r="E3" s="43" t="s">
        <v>3254</v>
      </c>
      <c r="F3" s="214">
        <f>B8</f>
        <v>6453.437438767497</v>
      </c>
    </row>
    <row r="4" spans="1:6" ht="14.4" customHeight="1">
      <c r="A4" s="157" t="s">
        <v>1259</v>
      </c>
      <c r="B4" s="190">
        <v>200000</v>
      </c>
      <c r="D4" s="446"/>
      <c r="E4" s="218">
        <v>0.11</v>
      </c>
      <c r="F4" s="197">
        <f t="dataTable" ref="F4:F8" dt2D="0" dtr="0" r1="B7"/>
        <v>6547.7434234004086</v>
      </c>
    </row>
    <row r="5" spans="1:6">
      <c r="A5" s="157" t="s">
        <v>3273</v>
      </c>
      <c r="B5" s="159">
        <v>3</v>
      </c>
      <c r="D5" s="446"/>
      <c r="E5" s="219">
        <v>0.115</v>
      </c>
      <c r="F5" s="197">
        <v>6595.2012865650177</v>
      </c>
    </row>
    <row r="6" spans="1:6">
      <c r="A6" s="157" t="s">
        <v>3274</v>
      </c>
      <c r="B6" s="159">
        <v>12</v>
      </c>
      <c r="D6" s="446"/>
      <c r="E6" s="218">
        <v>0.12</v>
      </c>
      <c r="F6" s="197">
        <v>6642.8619625702386</v>
      </c>
    </row>
    <row r="7" spans="1:6">
      <c r="A7" s="157" t="s">
        <v>3228</v>
      </c>
      <c r="B7" s="191">
        <v>0.1</v>
      </c>
      <c r="D7" s="446"/>
      <c r="E7" s="219">
        <v>0.125</v>
      </c>
      <c r="F7" s="197">
        <v>6690.7251153433044</v>
      </c>
    </row>
    <row r="8" spans="1:6" ht="15" thickBot="1">
      <c r="A8" s="174" t="s">
        <v>3275</v>
      </c>
      <c r="B8" s="210">
        <f>PMT(B7/12,B5*B6,-B4)</f>
        <v>6453.437438767497</v>
      </c>
      <c r="D8" s="447"/>
      <c r="E8" s="220">
        <v>0.13</v>
      </c>
      <c r="F8" s="192">
        <v>6738.7904006583549</v>
      </c>
    </row>
  </sheetData>
  <mergeCells count="3">
    <mergeCell ref="D1:F1"/>
    <mergeCell ref="D3:D8"/>
    <mergeCell ref="A1:B1"/>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82CB-CC0E-4404-A0E2-C770066AE5E1}">
  <sheetPr codeName="Sheet353"/>
  <dimension ref="A1:K6"/>
  <sheetViews>
    <sheetView workbookViewId="0">
      <selection activeCell="A2" sqref="A2"/>
    </sheetView>
  </sheetViews>
  <sheetFormatPr defaultRowHeight="14.4"/>
  <cols>
    <col min="1" max="1" width="19.88671875" bestFit="1" customWidth="1"/>
    <col min="2" max="2" width="9.6640625" bestFit="1" customWidth="1"/>
    <col min="3" max="3" width="6.6640625" customWidth="1"/>
    <col min="5" max="5" width="12.5546875" customWidth="1"/>
    <col min="6" max="6" width="8.44140625" bestFit="1" customWidth="1"/>
    <col min="7" max="7" width="8.6640625" customWidth="1"/>
  </cols>
  <sheetData>
    <row r="1" spans="1:11">
      <c r="A1" s="369" t="s">
        <v>3277</v>
      </c>
      <c r="B1" s="369"/>
      <c r="C1" s="369"/>
      <c r="E1" s="432" t="s">
        <v>3280</v>
      </c>
      <c r="F1" s="368"/>
      <c r="G1" s="368"/>
      <c r="H1" s="368"/>
      <c r="I1" s="368"/>
      <c r="J1" s="368"/>
      <c r="K1" s="368"/>
    </row>
    <row r="2" spans="1:11">
      <c r="A2" s="1" t="s">
        <v>2895</v>
      </c>
      <c r="B2" s="1" t="s">
        <v>2887</v>
      </c>
      <c r="C2" s="1" t="s">
        <v>1727</v>
      </c>
      <c r="E2" s="1" t="s">
        <v>3278</v>
      </c>
      <c r="F2" s="2" t="s">
        <v>3254</v>
      </c>
      <c r="G2" s="2">
        <v>6</v>
      </c>
      <c r="H2" s="2">
        <v>9</v>
      </c>
      <c r="I2" s="2">
        <v>12</v>
      </c>
      <c r="J2" s="2">
        <v>15</v>
      </c>
      <c r="K2" s="2">
        <v>18</v>
      </c>
    </row>
    <row r="3" spans="1:11">
      <c r="A3" s="2" t="s">
        <v>3214</v>
      </c>
      <c r="B3" s="2" t="s">
        <v>654</v>
      </c>
      <c r="C3" s="2">
        <v>2</v>
      </c>
      <c r="E3" s="1" t="s">
        <v>3279</v>
      </c>
      <c r="F3" s="2">
        <f>C6</f>
        <v>16</v>
      </c>
      <c r="G3" s="7">
        <f t="dataTable" ref="G3:K3" dt2D="0" dtr="1" r1="C4"/>
        <v>22</v>
      </c>
      <c r="H3" s="7">
        <v>28</v>
      </c>
      <c r="I3" s="7">
        <v>34</v>
      </c>
      <c r="J3" s="7">
        <v>40</v>
      </c>
      <c r="K3" s="7">
        <v>46</v>
      </c>
    </row>
    <row r="4" spans="1:11">
      <c r="A4" s="2" t="s">
        <v>3278</v>
      </c>
      <c r="B4" s="2" t="s">
        <v>3216</v>
      </c>
      <c r="C4" s="2">
        <v>3</v>
      </c>
    </row>
    <row r="5" spans="1:11">
      <c r="A5" s="2" t="s">
        <v>3217</v>
      </c>
      <c r="B5" s="2" t="s">
        <v>2182</v>
      </c>
      <c r="C5" s="2">
        <v>10</v>
      </c>
    </row>
    <row r="6" spans="1:11">
      <c r="A6" s="2" t="s">
        <v>3279</v>
      </c>
      <c r="B6" s="2" t="s">
        <v>657</v>
      </c>
      <c r="C6" s="7">
        <f>C3*C4+C5</f>
        <v>16</v>
      </c>
    </row>
  </sheetData>
  <mergeCells count="2">
    <mergeCell ref="A1:C1"/>
    <mergeCell ref="E1:K1"/>
  </mergeCells>
  <pageMargins left="0.7" right="0.7" top="0.75" bottom="0.75" header="0.3" footer="0.3"/>
  <pageSetup orientation="portrait" horizontalDpi="4294967293" verticalDpi="0"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FEA2-A743-41F2-985D-9A768E3CEC35}">
  <sheetPr codeName="Sheet354"/>
  <dimension ref="A1:B8"/>
  <sheetViews>
    <sheetView workbookViewId="0">
      <selection activeCell="A19" sqref="A19"/>
    </sheetView>
  </sheetViews>
  <sheetFormatPr defaultRowHeight="14.4"/>
  <cols>
    <col min="1" max="1" width="17" bestFit="1" customWidth="1"/>
    <col min="2" max="2" width="7.5546875" bestFit="1" customWidth="1"/>
  </cols>
  <sheetData>
    <row r="1" spans="1:2">
      <c r="A1" s="369" t="s">
        <v>3281</v>
      </c>
      <c r="B1" s="369"/>
    </row>
    <row r="2" spans="1:2">
      <c r="A2" s="1" t="s">
        <v>3282</v>
      </c>
      <c r="B2" s="1" t="s">
        <v>3283</v>
      </c>
    </row>
    <row r="3" spans="1:2">
      <c r="A3" s="2" t="s">
        <v>3284</v>
      </c>
      <c r="B3" s="2">
        <v>1500</v>
      </c>
    </row>
    <row r="4" spans="1:2">
      <c r="A4" s="2" t="s">
        <v>3285</v>
      </c>
      <c r="B4" s="2">
        <v>1200</v>
      </c>
    </row>
    <row r="5" spans="1:2">
      <c r="A5" s="2" t="s">
        <v>3286</v>
      </c>
      <c r="B5" s="2">
        <v>900</v>
      </c>
    </row>
    <row r="6" spans="1:2">
      <c r="A6" s="2" t="s">
        <v>3288</v>
      </c>
      <c r="B6" s="2">
        <v>650</v>
      </c>
    </row>
    <row r="7" spans="1:2">
      <c r="A7" s="2" t="s">
        <v>3289</v>
      </c>
      <c r="B7" s="2">
        <v>400</v>
      </c>
    </row>
    <row r="8" spans="1:2">
      <c r="A8" s="2" t="s">
        <v>3287</v>
      </c>
      <c r="B8" s="2">
        <v>250</v>
      </c>
    </row>
  </sheetData>
  <mergeCells count="1">
    <mergeCell ref="A1:B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6DB-4607-4F05-9D48-76015E046F87}">
  <sheetPr codeName="Sheet355"/>
  <dimension ref="A1:C8"/>
  <sheetViews>
    <sheetView workbookViewId="0">
      <selection activeCell="A19" sqref="A19"/>
    </sheetView>
  </sheetViews>
  <sheetFormatPr defaultRowHeight="14.4"/>
  <cols>
    <col min="1" max="1" width="20.6640625" bestFit="1" customWidth="1"/>
    <col min="2" max="2" width="20.6640625" customWidth="1"/>
    <col min="3" max="3" width="9.88671875" customWidth="1"/>
  </cols>
  <sheetData>
    <row r="1" spans="1:3">
      <c r="A1" s="371" t="s">
        <v>3290</v>
      </c>
      <c r="B1" s="372"/>
      <c r="C1" s="373"/>
    </row>
    <row r="3" spans="1:3">
      <c r="A3" s="1" t="s">
        <v>3282</v>
      </c>
      <c r="B3" s="1" t="s">
        <v>3296</v>
      </c>
      <c r="C3" s="1" t="s">
        <v>3297</v>
      </c>
    </row>
    <row r="4" spans="1:3">
      <c r="A4" s="2" t="s">
        <v>3291</v>
      </c>
      <c r="B4" s="2">
        <v>0</v>
      </c>
      <c r="C4" s="2">
        <v>5000</v>
      </c>
    </row>
    <row r="5" spans="1:3">
      <c r="A5" s="2" t="s">
        <v>3292</v>
      </c>
      <c r="B5" s="2">
        <f>(LARGE($C$4:$C$8,1)-C5)/2</f>
        <v>500</v>
      </c>
      <c r="C5" s="2">
        <v>4000</v>
      </c>
    </row>
    <row r="6" spans="1:3">
      <c r="A6" s="2" t="s">
        <v>3293</v>
      </c>
      <c r="B6" s="2">
        <f>(LARGE($C$4:$C$8,1)-C6)/2</f>
        <v>1000</v>
      </c>
      <c r="C6" s="2">
        <v>3000</v>
      </c>
    </row>
    <row r="7" spans="1:3">
      <c r="A7" s="2" t="s">
        <v>3294</v>
      </c>
      <c r="B7" s="2">
        <f>(LARGE($C$4:$C$8,1)-C7)/2</f>
        <v>1500</v>
      </c>
      <c r="C7" s="2">
        <v>2000</v>
      </c>
    </row>
    <row r="8" spans="1:3">
      <c r="A8" s="2" t="s">
        <v>3295</v>
      </c>
      <c r="B8" s="2">
        <f>(LARGE($C$4:$C$8,1)-C8)/2</f>
        <v>2000</v>
      </c>
      <c r="C8" s="2">
        <v>1000</v>
      </c>
    </row>
  </sheetData>
  <mergeCells count="1">
    <mergeCell ref="A1:C1"/>
  </mergeCells>
  <pageMargins left="0.7" right="0.7" top="0.75" bottom="0.75" header="0.3" footer="0.3"/>
  <pageSetup orientation="portrait" horizontalDpi="4294967293" verticalDpi="0"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0918-FE0A-4B1F-A625-59F69B6BA618}">
  <sheetPr codeName="Sheet356"/>
  <dimension ref="A1:B8"/>
  <sheetViews>
    <sheetView workbookViewId="0">
      <selection activeCell="A19" sqref="A19"/>
    </sheetView>
  </sheetViews>
  <sheetFormatPr defaultRowHeight="14.4"/>
  <cols>
    <col min="1" max="1" width="20.6640625" bestFit="1" customWidth="1"/>
    <col min="2" max="2" width="8.109375" customWidth="1"/>
  </cols>
  <sheetData>
    <row r="1" spans="1:2">
      <c r="A1" s="371" t="s">
        <v>3290</v>
      </c>
      <c r="B1" s="373"/>
    </row>
    <row r="3" spans="1:2">
      <c r="A3" s="1" t="s">
        <v>3282</v>
      </c>
      <c r="B3" s="1" t="s">
        <v>3297</v>
      </c>
    </row>
    <row r="4" spans="1:2">
      <c r="A4" s="2" t="s">
        <v>3291</v>
      </c>
      <c r="B4" s="2">
        <v>5000</v>
      </c>
    </row>
    <row r="5" spans="1:2">
      <c r="A5" s="2" t="s">
        <v>3292</v>
      </c>
      <c r="B5" s="2">
        <v>4000</v>
      </c>
    </row>
    <row r="6" spans="1:2">
      <c r="A6" s="2" t="s">
        <v>3293</v>
      </c>
      <c r="B6" s="2">
        <v>3000</v>
      </c>
    </row>
    <row r="7" spans="1:2">
      <c r="A7" s="2" t="s">
        <v>3294</v>
      </c>
      <c r="B7" s="2">
        <v>2000</v>
      </c>
    </row>
    <row r="8" spans="1:2">
      <c r="A8" s="2" t="s">
        <v>3295</v>
      </c>
      <c r="B8" s="2">
        <v>1000</v>
      </c>
    </row>
  </sheetData>
  <mergeCells count="1">
    <mergeCell ref="A1:B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D18B-8D2D-43C2-8CFA-2D928E7DD3A6}">
  <sheetPr codeName="Sheet357"/>
  <dimension ref="A1:B8"/>
  <sheetViews>
    <sheetView workbookViewId="0">
      <selection activeCell="A19" sqref="A19"/>
    </sheetView>
  </sheetViews>
  <sheetFormatPr defaultRowHeight="14.4"/>
  <cols>
    <col min="1" max="1" width="19.5546875" bestFit="1" customWidth="1"/>
    <col min="2" max="2" width="22" bestFit="1" customWidth="1"/>
  </cols>
  <sheetData>
    <row r="1" spans="1:2">
      <c r="A1" s="369" t="s">
        <v>3298</v>
      </c>
      <c r="B1" s="369"/>
    </row>
    <row r="3" spans="1:2">
      <c r="A3" s="1" t="s">
        <v>3282</v>
      </c>
      <c r="B3" s="1" t="s">
        <v>3310</v>
      </c>
    </row>
    <row r="4" spans="1:2">
      <c r="A4" s="2" t="s">
        <v>3299</v>
      </c>
      <c r="B4" s="53">
        <v>200000</v>
      </c>
    </row>
    <row r="5" spans="1:2">
      <c r="A5" s="2" t="s">
        <v>3300</v>
      </c>
      <c r="B5" s="53">
        <v>155000</v>
      </c>
    </row>
    <row r="6" spans="1:2">
      <c r="A6" s="2" t="s">
        <v>3301</v>
      </c>
      <c r="B6" s="53">
        <v>134000</v>
      </c>
    </row>
    <row r="7" spans="1:2">
      <c r="A7" s="2" t="s">
        <v>3302</v>
      </c>
      <c r="B7" s="53">
        <v>123000</v>
      </c>
    </row>
    <row r="8" spans="1:2">
      <c r="A8" s="2" t="s">
        <v>3303</v>
      </c>
      <c r="B8" s="53">
        <v>89000</v>
      </c>
    </row>
  </sheetData>
  <mergeCells count="1">
    <mergeCell ref="A1:B1"/>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F099-F2CE-4085-9F4C-F4A3AE40A3FA}">
  <sheetPr codeName="Sheet358"/>
  <dimension ref="A1:B7"/>
  <sheetViews>
    <sheetView workbookViewId="0">
      <selection activeCell="A19" sqref="A19"/>
    </sheetView>
  </sheetViews>
  <sheetFormatPr defaultRowHeight="14.4"/>
  <cols>
    <col min="1" max="1" width="21.109375" bestFit="1" customWidth="1"/>
    <col min="2" max="2" width="19.6640625" bestFit="1" customWidth="1"/>
  </cols>
  <sheetData>
    <row r="1" spans="1:2">
      <c r="A1" s="400" t="s">
        <v>3309</v>
      </c>
      <c r="B1" s="368"/>
    </row>
    <row r="2" spans="1:2">
      <c r="A2" s="1" t="s">
        <v>3317</v>
      </c>
      <c r="B2" s="1" t="s">
        <v>3311</v>
      </c>
    </row>
    <row r="3" spans="1:2">
      <c r="A3" s="2" t="s">
        <v>3312</v>
      </c>
      <c r="B3" s="2">
        <v>2000</v>
      </c>
    </row>
    <row r="4" spans="1:2">
      <c r="A4" s="2" t="s">
        <v>3313</v>
      </c>
      <c r="B4" s="2">
        <v>1500</v>
      </c>
    </row>
    <row r="5" spans="1:2">
      <c r="A5" s="2" t="s">
        <v>3314</v>
      </c>
      <c r="B5" s="2">
        <v>1000</v>
      </c>
    </row>
    <row r="6" spans="1:2">
      <c r="A6" s="2" t="s">
        <v>3315</v>
      </c>
      <c r="B6" s="2">
        <v>700</v>
      </c>
    </row>
    <row r="7" spans="1:2">
      <c r="A7" s="2" t="s">
        <v>3316</v>
      </c>
      <c r="B7" s="2">
        <v>400</v>
      </c>
    </row>
  </sheetData>
  <mergeCells count="1">
    <mergeCell ref="A1:B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FEE1-D073-4F21-8CA4-5D8B44541679}">
  <sheetPr codeName="Sheet359"/>
  <dimension ref="A1:C11"/>
  <sheetViews>
    <sheetView workbookViewId="0">
      <selection activeCell="A2" sqref="A2"/>
    </sheetView>
  </sheetViews>
  <sheetFormatPr defaultRowHeight="14.4"/>
  <cols>
    <col min="1" max="1" width="21.109375" bestFit="1" customWidth="1"/>
    <col min="2" max="2" width="21.109375" customWidth="1"/>
    <col min="3" max="3" width="19.6640625" bestFit="1" customWidth="1"/>
  </cols>
  <sheetData>
    <row r="1" spans="1:3">
      <c r="A1" s="400" t="s">
        <v>3309</v>
      </c>
      <c r="B1" s="368"/>
      <c r="C1" s="368"/>
    </row>
    <row r="2" spans="1:3">
      <c r="A2" s="1" t="s">
        <v>3282</v>
      </c>
      <c r="B2" s="1" t="s">
        <v>3308</v>
      </c>
      <c r="C2" s="1" t="s">
        <v>3311</v>
      </c>
    </row>
    <row r="3" spans="1:3">
      <c r="A3" s="2" t="s">
        <v>3304</v>
      </c>
      <c r="B3" s="82">
        <v>1</v>
      </c>
      <c r="C3" s="2">
        <v>2000</v>
      </c>
    </row>
    <row r="4" spans="1:3">
      <c r="A4" s="2" t="s">
        <v>3318</v>
      </c>
      <c r="B4" s="82">
        <v>0.1</v>
      </c>
      <c r="C4" s="2"/>
    </row>
    <row r="5" spans="1:3">
      <c r="A5" s="2" t="s">
        <v>3305</v>
      </c>
      <c r="B5" s="82">
        <v>0.75</v>
      </c>
      <c r="C5" s="2">
        <v>1500</v>
      </c>
    </row>
    <row r="6" spans="1:3">
      <c r="A6" s="2" t="s">
        <v>3318</v>
      </c>
      <c r="B6" s="82">
        <v>0.1</v>
      </c>
      <c r="C6" s="2"/>
    </row>
    <row r="7" spans="1:3">
      <c r="A7" s="2" t="s">
        <v>3306</v>
      </c>
      <c r="B7" s="82">
        <v>0.5</v>
      </c>
      <c r="C7" s="2">
        <v>1000</v>
      </c>
    </row>
    <row r="8" spans="1:3">
      <c r="A8" s="2" t="s">
        <v>3318</v>
      </c>
      <c r="B8" s="82">
        <v>0.1</v>
      </c>
      <c r="C8" s="2"/>
    </row>
    <row r="9" spans="1:3">
      <c r="A9" s="2" t="s">
        <v>3302</v>
      </c>
      <c r="B9" s="82">
        <v>0.35</v>
      </c>
      <c r="C9" s="2">
        <v>700</v>
      </c>
    </row>
    <row r="10" spans="1:3">
      <c r="A10" s="2" t="s">
        <v>3318</v>
      </c>
      <c r="B10" s="82">
        <v>0.1</v>
      </c>
      <c r="C10" s="2"/>
    </row>
    <row r="11" spans="1:3">
      <c r="A11" s="2" t="s">
        <v>3307</v>
      </c>
      <c r="B11" s="82">
        <v>0.2</v>
      </c>
      <c r="C11" s="2">
        <v>400</v>
      </c>
    </row>
  </sheetData>
  <mergeCells count="1">
    <mergeCell ref="A1:C1"/>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894F-00EC-40BE-BEB5-FD4D8983E233}">
  <sheetPr codeName="Sheet360"/>
  <dimension ref="A1:C8"/>
  <sheetViews>
    <sheetView zoomScaleNormal="100" workbookViewId="0">
      <selection activeCell="A2" sqref="A2"/>
    </sheetView>
  </sheetViews>
  <sheetFormatPr defaultRowHeight="14.4"/>
  <cols>
    <col min="1" max="1" width="17.109375" bestFit="1" customWidth="1"/>
    <col min="2" max="2" width="12.5546875" customWidth="1"/>
    <col min="3" max="3" width="108.5546875" bestFit="1" customWidth="1"/>
  </cols>
  <sheetData>
    <row r="1" spans="1:3">
      <c r="A1" s="400" t="s">
        <v>3326</v>
      </c>
      <c r="B1" s="368"/>
      <c r="C1" s="368"/>
    </row>
    <row r="2" spans="1:3">
      <c r="A2" s="1" t="s">
        <v>3282</v>
      </c>
      <c r="B2" s="1" t="s">
        <v>3319</v>
      </c>
      <c r="C2" s="1" t="s">
        <v>3327</v>
      </c>
    </row>
    <row r="3" spans="1:3">
      <c r="A3" s="2" t="s">
        <v>3320</v>
      </c>
      <c r="B3" s="53">
        <v>50000</v>
      </c>
      <c r="C3" s="223" t="str">
        <f t="shared" ref="C3:C8" si="0">REPT("g",(B3/1000))</f>
        <v>gggggggggggggggggggggggggggggggggggggggggggggggggg</v>
      </c>
    </row>
    <row r="4" spans="1:3">
      <c r="A4" s="2" t="s">
        <v>3322</v>
      </c>
      <c r="B4" s="53">
        <v>40000</v>
      </c>
      <c r="C4" s="223" t="str">
        <f t="shared" si="0"/>
        <v>gggggggggggggggggggggggggggggggggggggggg</v>
      </c>
    </row>
    <row r="5" spans="1:3">
      <c r="A5" s="2" t="s">
        <v>3321</v>
      </c>
      <c r="B5" s="53">
        <v>30000</v>
      </c>
      <c r="C5" s="223" t="str">
        <f t="shared" si="0"/>
        <v>gggggggggggggggggggggggggggggg</v>
      </c>
    </row>
    <row r="6" spans="1:3">
      <c r="A6" s="2" t="s">
        <v>3323</v>
      </c>
      <c r="B6" s="53">
        <v>20000</v>
      </c>
      <c r="C6" s="223" t="str">
        <f t="shared" si="0"/>
        <v>gggggggggggggggggggg</v>
      </c>
    </row>
    <row r="7" spans="1:3">
      <c r="A7" s="2" t="s">
        <v>3324</v>
      </c>
      <c r="B7" s="53">
        <v>15000</v>
      </c>
      <c r="C7" s="223" t="str">
        <f t="shared" si="0"/>
        <v>ggggggggggggggg</v>
      </c>
    </row>
    <row r="8" spans="1:3">
      <c r="A8" s="2" t="s">
        <v>3325</v>
      </c>
      <c r="B8" s="53">
        <v>5000</v>
      </c>
      <c r="C8" s="223" t="str">
        <f t="shared" si="0"/>
        <v>ggggg</v>
      </c>
    </row>
  </sheetData>
  <mergeCells count="1">
    <mergeCell ref="A1:C1"/>
  </mergeCells>
  <pageMargins left="0.7" right="0.7" top="0.75" bottom="0.75" header="0.3" footer="0.3"/>
  <pageSetup orientation="portrait" horizontalDpi="4294967293" verticalDpi="0"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2DA-A73F-4A7C-977B-F13ED9B5FAA3}">
  <sheetPr codeName="Sheet361"/>
  <dimension ref="A1:H11"/>
  <sheetViews>
    <sheetView workbookViewId="0">
      <selection activeCell="H2" sqref="H2"/>
    </sheetView>
  </sheetViews>
  <sheetFormatPr defaultRowHeight="14.4"/>
  <cols>
    <col min="1" max="1" width="17.6640625" bestFit="1" customWidth="1"/>
    <col min="2" max="2" width="26.44140625" bestFit="1" customWidth="1"/>
    <col min="3" max="3" width="21.44140625" bestFit="1" customWidth="1"/>
    <col min="4" max="4" width="23.88671875" bestFit="1" customWidth="1"/>
    <col min="7" max="7" width="12.109375" customWidth="1"/>
    <col min="8" max="8" width="25.6640625" bestFit="1" customWidth="1"/>
  </cols>
  <sheetData>
    <row r="1" spans="1:8">
      <c r="A1" s="1" t="s">
        <v>0</v>
      </c>
      <c r="B1" s="1" t="s">
        <v>3358</v>
      </c>
      <c r="C1" s="1" t="s">
        <v>3339</v>
      </c>
      <c r="D1" s="1" t="s">
        <v>3340</v>
      </c>
      <c r="G1" s="1" t="s">
        <v>0</v>
      </c>
      <c r="H1" s="1" t="s">
        <v>3338</v>
      </c>
    </row>
    <row r="2" spans="1:8">
      <c r="A2" s="3" t="s">
        <v>3328</v>
      </c>
      <c r="B2" s="2">
        <v>95</v>
      </c>
      <c r="C2" s="2">
        <v>94</v>
      </c>
      <c r="D2" s="2">
        <v>99</v>
      </c>
      <c r="G2" s="3" t="s">
        <v>3332</v>
      </c>
      <c r="H2" s="18" t="s">
        <v>3341</v>
      </c>
    </row>
    <row r="3" spans="1:8">
      <c r="A3" s="3" t="s">
        <v>3329</v>
      </c>
      <c r="B3" s="2">
        <v>100</v>
      </c>
      <c r="C3" s="2">
        <v>100</v>
      </c>
      <c r="D3" s="2">
        <v>100</v>
      </c>
    </row>
    <row r="4" spans="1:8">
      <c r="A4" s="3" t="s">
        <v>3330</v>
      </c>
      <c r="B4" s="2">
        <v>77</v>
      </c>
      <c r="C4" s="2">
        <v>78</v>
      </c>
      <c r="D4" s="2">
        <v>79</v>
      </c>
    </row>
    <row r="5" spans="1:8">
      <c r="A5" s="3" t="s">
        <v>3331</v>
      </c>
      <c r="B5" s="2">
        <v>58</v>
      </c>
      <c r="C5" s="2">
        <v>55</v>
      </c>
      <c r="D5" s="2">
        <v>59</v>
      </c>
    </row>
    <row r="6" spans="1:8">
      <c r="A6" s="3" t="s">
        <v>3332</v>
      </c>
      <c r="B6" s="2">
        <v>95</v>
      </c>
      <c r="C6" s="2">
        <v>98</v>
      </c>
      <c r="D6" s="2">
        <v>100</v>
      </c>
    </row>
    <row r="7" spans="1:8">
      <c r="A7" s="3" t="s">
        <v>3333</v>
      </c>
      <c r="B7" s="2">
        <v>100</v>
      </c>
      <c r="C7" s="2">
        <v>94</v>
      </c>
      <c r="D7" s="2">
        <v>98</v>
      </c>
    </row>
    <row r="8" spans="1:8">
      <c r="A8" s="3" t="s">
        <v>3334</v>
      </c>
      <c r="B8" s="2">
        <v>100</v>
      </c>
      <c r="C8" s="2">
        <v>100</v>
      </c>
      <c r="D8" s="2">
        <v>99</v>
      </c>
    </row>
    <row r="9" spans="1:8">
      <c r="A9" s="3" t="s">
        <v>3335</v>
      </c>
      <c r="B9" s="2">
        <v>87</v>
      </c>
      <c r="C9" s="2">
        <v>89</v>
      </c>
      <c r="D9" s="2">
        <v>90</v>
      </c>
    </row>
    <row r="10" spans="1:8">
      <c r="A10" s="3" t="s">
        <v>3336</v>
      </c>
      <c r="B10" s="2">
        <v>100</v>
      </c>
      <c r="C10" s="2">
        <v>95</v>
      </c>
      <c r="D10" s="2">
        <v>95</v>
      </c>
    </row>
    <row r="11" spans="1:8">
      <c r="A11" s="3" t="s">
        <v>3337</v>
      </c>
      <c r="B11" s="2">
        <v>94</v>
      </c>
      <c r="C11" s="2">
        <v>93</v>
      </c>
      <c r="D11" s="2">
        <v>90</v>
      </c>
    </row>
  </sheetData>
  <pageMargins left="0.7" right="0.7" top="0.75" bottom="0.75" header="0.3" footer="0.3"/>
  <pageSetup orientation="portrait" horizontalDpi="4294967293" verticalDpi="0"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CA31-62FD-4562-9AC9-59104C38B0E7}">
  <sheetPr codeName="Sheet362"/>
  <dimension ref="A1:F6"/>
  <sheetViews>
    <sheetView workbookViewId="0">
      <selection activeCell="H2" sqref="H2"/>
    </sheetView>
  </sheetViews>
  <sheetFormatPr defaultRowHeight="14.4"/>
  <cols>
    <col min="1" max="1" width="9.5546875" customWidth="1"/>
    <col min="2" max="3" width="13.33203125" customWidth="1"/>
    <col min="6" max="6" width="40.5546875" bestFit="1" customWidth="1"/>
  </cols>
  <sheetData>
    <row r="1" spans="1:6">
      <c r="A1" s="1" t="s">
        <v>130</v>
      </c>
      <c r="B1" s="1" t="s">
        <v>3342</v>
      </c>
      <c r="C1" s="1" t="s">
        <v>1457</v>
      </c>
      <c r="E1" s="1" t="s">
        <v>130</v>
      </c>
      <c r="F1" s="1" t="s">
        <v>3348</v>
      </c>
    </row>
    <row r="2" spans="1:6">
      <c r="A2" s="2" t="s">
        <v>3343</v>
      </c>
      <c r="B2" s="2">
        <v>1000</v>
      </c>
      <c r="C2" s="2">
        <v>2000</v>
      </c>
      <c r="E2" s="2" t="s">
        <v>3346</v>
      </c>
      <c r="F2" s="47" t="str">
        <f>IF((VLOOKUP(E2,A:C,3,0)&gt;VLOOKUP(E2,A:B,2,0)),"Order Fulfilled","Order Unfulfilled")</f>
        <v>Order Fulfilled</v>
      </c>
    </row>
    <row r="3" spans="1:6">
      <c r="A3" s="2" t="s">
        <v>3344</v>
      </c>
      <c r="B3" s="2">
        <v>1500</v>
      </c>
      <c r="C3" s="2">
        <v>2100</v>
      </c>
    </row>
    <row r="4" spans="1:6">
      <c r="A4" s="2" t="s">
        <v>3345</v>
      </c>
      <c r="B4" s="2">
        <v>900</v>
      </c>
      <c r="C4" s="2">
        <v>800</v>
      </c>
    </row>
    <row r="5" spans="1:6">
      <c r="A5" s="2" t="s">
        <v>3346</v>
      </c>
      <c r="B5" s="2">
        <v>1900</v>
      </c>
      <c r="C5" s="2">
        <v>2200</v>
      </c>
    </row>
    <row r="6" spans="1:6">
      <c r="A6" s="2" t="s">
        <v>3347</v>
      </c>
      <c r="B6" s="2">
        <v>100</v>
      </c>
      <c r="C6" s="2">
        <v>200</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6BF8A-AEBC-4C9C-A262-B95A61C3375B}">
  <sheetPr codeName="Sheet363"/>
  <dimension ref="A1:C8"/>
  <sheetViews>
    <sheetView workbookViewId="0">
      <selection activeCell="H2" sqref="H2"/>
    </sheetView>
  </sheetViews>
  <sheetFormatPr defaultRowHeight="14.4"/>
  <cols>
    <col min="1" max="1" width="41.5546875" bestFit="1" customWidth="1"/>
    <col min="2" max="2" width="9.88671875" bestFit="1" customWidth="1"/>
    <col min="3" max="3" width="7.5546875" bestFit="1" customWidth="1"/>
  </cols>
  <sheetData>
    <row r="1" spans="1:3">
      <c r="A1" s="369" t="s">
        <v>1716</v>
      </c>
      <c r="B1" s="369"/>
      <c r="C1" s="369"/>
    </row>
    <row r="2" spans="1:3">
      <c r="A2" s="1" t="s">
        <v>622</v>
      </c>
      <c r="B2" s="1" t="s">
        <v>2887</v>
      </c>
      <c r="C2" s="1" t="s">
        <v>1727</v>
      </c>
    </row>
    <row r="3" spans="1:3">
      <c r="A3" s="2" t="s">
        <v>1252</v>
      </c>
      <c r="B3" s="2" t="s">
        <v>1262</v>
      </c>
      <c r="C3" s="82">
        <v>0.05</v>
      </c>
    </row>
    <row r="4" spans="1:3">
      <c r="A4" s="2" t="s">
        <v>3237</v>
      </c>
      <c r="B4" s="2" t="s">
        <v>3349</v>
      </c>
      <c r="C4" s="2">
        <v>12</v>
      </c>
    </row>
    <row r="5" spans="1:3">
      <c r="A5" s="2" t="s">
        <v>3351</v>
      </c>
      <c r="B5" s="2" t="s">
        <v>3350</v>
      </c>
      <c r="C5" s="83">
        <v>-2000</v>
      </c>
    </row>
    <row r="8" spans="1:3">
      <c r="A8" s="2" t="s">
        <v>1728</v>
      </c>
      <c r="B8" s="224">
        <f>FV(C3/12,C4,C5,,FALSE)</f>
        <v>24557.710983232042</v>
      </c>
    </row>
  </sheetData>
  <mergeCells count="1">
    <mergeCell ref="A1:C1"/>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8A5D-E58D-44E7-A643-95DAE745CB93}">
  <sheetPr codeName="Sheet364"/>
  <dimension ref="A1:E7"/>
  <sheetViews>
    <sheetView workbookViewId="0">
      <selection activeCell="H2" sqref="H2"/>
    </sheetView>
  </sheetViews>
  <sheetFormatPr defaultRowHeight="14.4"/>
  <cols>
    <col min="4" max="4" width="76.44140625" bestFit="1" customWidth="1"/>
  </cols>
  <sheetData>
    <row r="1" spans="1:5">
      <c r="A1" s="1" t="s">
        <v>1727</v>
      </c>
      <c r="D1" s="1" t="s">
        <v>2283</v>
      </c>
      <c r="E1" s="1" t="s">
        <v>1384</v>
      </c>
    </row>
    <row r="2" spans="1:5">
      <c r="A2" s="2">
        <v>1</v>
      </c>
      <c r="D2" s="65" t="s">
        <v>3353</v>
      </c>
      <c r="E2" s="7" t="str">
        <f>IF(SUM(A2:A6)&gt;4,"1","0")</f>
        <v>1</v>
      </c>
    </row>
    <row r="3" spans="1:5">
      <c r="A3" s="2">
        <v>2</v>
      </c>
      <c r="D3" s="65" t="s">
        <v>3352</v>
      </c>
      <c r="E3" s="7">
        <f>SUM(A2:A6)</f>
        <v>15</v>
      </c>
    </row>
    <row r="4" spans="1:5">
      <c r="A4" s="2">
        <v>3</v>
      </c>
    </row>
    <row r="5" spans="1:5">
      <c r="A5" s="2">
        <v>4</v>
      </c>
    </row>
    <row r="6" spans="1:5">
      <c r="A6" s="2">
        <v>5</v>
      </c>
    </row>
    <row r="7" spans="1:5">
      <c r="A7" s="225"/>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C77B-481E-4A04-B2E8-4C5D194718F6}">
  <sheetPr codeName="Sheet365"/>
  <dimension ref="A1:E5"/>
  <sheetViews>
    <sheetView workbookViewId="0">
      <selection activeCell="H2" sqref="H2"/>
    </sheetView>
  </sheetViews>
  <sheetFormatPr defaultRowHeight="14.4"/>
  <cols>
    <col min="1" max="1" width="6.109375" bestFit="1" customWidth="1"/>
    <col min="2" max="2" width="15.6640625" bestFit="1" customWidth="1"/>
    <col min="3" max="3" width="22.5546875" bestFit="1" customWidth="1"/>
    <col min="4" max="4" width="15.88671875" bestFit="1" customWidth="1"/>
    <col min="5" max="5" width="24.109375" bestFit="1" customWidth="1"/>
  </cols>
  <sheetData>
    <row r="1" spans="1:5">
      <c r="A1" s="1" t="s">
        <v>130</v>
      </c>
      <c r="B1" s="1" t="s">
        <v>80</v>
      </c>
      <c r="C1" s="1" t="s">
        <v>2195</v>
      </c>
      <c r="D1" s="1" t="s">
        <v>358</v>
      </c>
      <c r="E1" s="1" t="s">
        <v>1646</v>
      </c>
    </row>
    <row r="2" spans="1:5">
      <c r="A2" s="2" t="s">
        <v>131</v>
      </c>
      <c r="B2" s="2">
        <v>10</v>
      </c>
      <c r="C2" s="2">
        <v>50</v>
      </c>
      <c r="D2" s="67">
        <f>B2*C2</f>
        <v>500</v>
      </c>
      <c r="E2" s="55" t="s">
        <v>3354</v>
      </c>
    </row>
    <row r="3" spans="1:5">
      <c r="A3" s="2" t="s">
        <v>132</v>
      </c>
      <c r="B3" s="2">
        <v>12</v>
      </c>
      <c r="C3" s="2">
        <v>10</v>
      </c>
      <c r="D3" s="67">
        <f>B3*C3</f>
        <v>120</v>
      </c>
      <c r="E3" s="55" t="s">
        <v>3355</v>
      </c>
    </row>
    <row r="4" spans="1:5">
      <c r="A4" s="2" t="s">
        <v>133</v>
      </c>
      <c r="B4" s="2">
        <v>20</v>
      </c>
      <c r="C4" s="2">
        <v>15</v>
      </c>
      <c r="D4" s="67">
        <f>B4*C4</f>
        <v>300</v>
      </c>
      <c r="E4" s="55" t="s">
        <v>3356</v>
      </c>
    </row>
    <row r="5" spans="1:5">
      <c r="A5" s="2" t="s">
        <v>134</v>
      </c>
      <c r="B5" s="2">
        <v>22</v>
      </c>
      <c r="C5" s="2">
        <v>30</v>
      </c>
      <c r="D5" s="67">
        <f>B5*C5</f>
        <v>660</v>
      </c>
      <c r="E5" s="55" t="s">
        <v>3357</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6839-A881-4164-AA61-E234DC0EA957}">
  <sheetPr codeName="Sheet366"/>
  <dimension ref="A1:H11"/>
  <sheetViews>
    <sheetView workbookViewId="0"/>
  </sheetViews>
  <sheetFormatPr defaultRowHeight="14.4"/>
  <cols>
    <col min="1" max="1" width="16.88671875" bestFit="1" customWidth="1"/>
    <col min="2" max="2" width="15" bestFit="1" customWidth="1"/>
    <col min="3" max="3" width="12.33203125" bestFit="1" customWidth="1"/>
    <col min="6" max="6" width="15" bestFit="1" customWidth="1"/>
    <col min="7" max="7" width="12.33203125" bestFit="1" customWidth="1"/>
    <col min="8" max="8" width="45.109375" bestFit="1" customWidth="1"/>
  </cols>
  <sheetData>
    <row r="1" spans="1:8">
      <c r="A1" s="1" t="s">
        <v>3359</v>
      </c>
      <c r="B1" s="1" t="s">
        <v>0</v>
      </c>
      <c r="C1" s="1" t="s">
        <v>3360</v>
      </c>
      <c r="F1" s="1" t="s">
        <v>0</v>
      </c>
      <c r="G1" s="1" t="s">
        <v>3360</v>
      </c>
      <c r="H1" s="9" t="s">
        <v>3371</v>
      </c>
    </row>
    <row r="2" spans="1:8">
      <c r="A2" s="2">
        <v>13425</v>
      </c>
      <c r="B2" s="3" t="s">
        <v>3361</v>
      </c>
      <c r="C2" s="2" t="s">
        <v>758</v>
      </c>
      <c r="F2" s="3" t="s">
        <v>3370</v>
      </c>
      <c r="G2" s="7" t="str">
        <f>VLOOKUP(F2,$B$2:$C$11,2,0)</f>
        <v>C</v>
      </c>
      <c r="H2" s="2" t="s">
        <v>3372</v>
      </c>
    </row>
    <row r="3" spans="1:8">
      <c r="A3" s="2">
        <v>13799</v>
      </c>
      <c r="B3" s="3" t="s">
        <v>3362</v>
      </c>
      <c r="C3" s="2" t="s">
        <v>760</v>
      </c>
      <c r="F3" s="3" t="s">
        <v>3363</v>
      </c>
      <c r="G3" s="7" t="str">
        <f t="shared" ref="G3:G11" si="0">VLOOKUP(F3,$B$2:$C$11,2,0)</f>
        <v>A</v>
      </c>
      <c r="H3" s="2" t="s">
        <v>3373</v>
      </c>
    </row>
    <row r="4" spans="1:8">
      <c r="A4" s="2">
        <v>13823</v>
      </c>
      <c r="B4" s="3" t="s">
        <v>3363</v>
      </c>
      <c r="C4" s="2" t="s">
        <v>758</v>
      </c>
      <c r="F4" s="3" t="s">
        <v>3365</v>
      </c>
      <c r="G4" s="7" t="str">
        <f t="shared" si="0"/>
        <v>B</v>
      </c>
      <c r="H4" s="2" t="s">
        <v>3374</v>
      </c>
    </row>
    <row r="5" spans="1:8">
      <c r="A5" s="2">
        <v>13934</v>
      </c>
      <c r="B5" s="3" t="s">
        <v>3364</v>
      </c>
      <c r="C5" s="2" t="s">
        <v>762</v>
      </c>
      <c r="F5" s="3" t="s">
        <v>3362</v>
      </c>
      <c r="G5" s="7" t="str">
        <f t="shared" si="0"/>
        <v>B</v>
      </c>
      <c r="H5" s="2" t="s">
        <v>3375</v>
      </c>
    </row>
    <row r="6" spans="1:8">
      <c r="A6" s="2">
        <v>14023</v>
      </c>
      <c r="B6" s="3" t="s">
        <v>3365</v>
      </c>
      <c r="C6" s="2" t="s">
        <v>760</v>
      </c>
      <c r="F6" s="3" t="s">
        <v>3367</v>
      </c>
      <c r="G6" s="7" t="str">
        <f t="shared" si="0"/>
        <v>A</v>
      </c>
      <c r="H6" s="2" t="s">
        <v>3376</v>
      </c>
    </row>
    <row r="7" spans="1:8">
      <c r="A7" s="2">
        <v>14353</v>
      </c>
      <c r="B7" s="3" t="s">
        <v>3366</v>
      </c>
      <c r="C7" s="2" t="s">
        <v>760</v>
      </c>
      <c r="F7" s="3" t="s">
        <v>3364</v>
      </c>
      <c r="G7" s="7" t="str">
        <f t="shared" si="0"/>
        <v>C</v>
      </c>
      <c r="H7" s="2" t="s">
        <v>3377</v>
      </c>
    </row>
    <row r="8" spans="1:8">
      <c r="A8" s="2">
        <v>14398</v>
      </c>
      <c r="B8" s="3" t="s">
        <v>3367</v>
      </c>
      <c r="C8" s="2" t="s">
        <v>758</v>
      </c>
      <c r="F8" s="3" t="s">
        <v>3361</v>
      </c>
      <c r="G8" s="7" t="str">
        <f t="shared" si="0"/>
        <v>A</v>
      </c>
      <c r="H8" s="2" t="s">
        <v>3378</v>
      </c>
    </row>
    <row r="9" spans="1:8">
      <c r="A9" s="2">
        <v>14465</v>
      </c>
      <c r="B9" s="3" t="s">
        <v>3368</v>
      </c>
      <c r="C9" s="2" t="s">
        <v>758</v>
      </c>
      <c r="F9" s="3" t="s">
        <v>3366</v>
      </c>
      <c r="G9" s="7" t="str">
        <f t="shared" si="0"/>
        <v>B</v>
      </c>
      <c r="H9" s="2" t="s">
        <v>3379</v>
      </c>
    </row>
    <row r="10" spans="1:8">
      <c r="A10" s="2">
        <v>14523</v>
      </c>
      <c r="B10" s="3" t="s">
        <v>3369</v>
      </c>
      <c r="C10" s="2" t="s">
        <v>765</v>
      </c>
      <c r="F10" s="3" t="s">
        <v>3368</v>
      </c>
      <c r="G10" s="7" t="str">
        <f t="shared" si="0"/>
        <v>A</v>
      </c>
      <c r="H10" s="2" t="s">
        <v>3380</v>
      </c>
    </row>
    <row r="11" spans="1:8">
      <c r="A11" s="2">
        <v>14793</v>
      </c>
      <c r="B11" s="3" t="s">
        <v>3370</v>
      </c>
      <c r="C11" s="2" t="s">
        <v>762</v>
      </c>
      <c r="F11" s="3" t="s">
        <v>3369</v>
      </c>
      <c r="G11" s="7" t="str">
        <f t="shared" si="0"/>
        <v>D</v>
      </c>
      <c r="H11" s="2" t="s">
        <v>3381</v>
      </c>
    </row>
  </sheetData>
  <sortState xmlns:xlrd2="http://schemas.microsoft.com/office/spreadsheetml/2017/richdata2" ref="F2:F11">
    <sortCondition ref="F2"/>
  </sortState>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4AFC-918E-41B8-A1EC-218F4DD9C29B}">
  <sheetPr codeName="Sheet367"/>
  <dimension ref="A1:E7"/>
  <sheetViews>
    <sheetView workbookViewId="0">
      <selection activeCell="C1" sqref="C1"/>
    </sheetView>
  </sheetViews>
  <sheetFormatPr defaultRowHeight="14.4"/>
  <cols>
    <col min="1" max="1" width="6.5546875" bestFit="1" customWidth="1"/>
    <col min="2" max="2" width="14" bestFit="1" customWidth="1"/>
    <col min="3" max="3" width="16.88671875" bestFit="1" customWidth="1"/>
    <col min="4" max="4" width="15.109375" bestFit="1" customWidth="1"/>
    <col min="5" max="5" width="22.6640625" bestFit="1" customWidth="1"/>
  </cols>
  <sheetData>
    <row r="1" spans="1:5">
      <c r="A1" s="1" t="s">
        <v>32</v>
      </c>
      <c r="B1" s="1" t="s">
        <v>675</v>
      </c>
      <c r="C1" s="1" t="s">
        <v>87</v>
      </c>
      <c r="D1" s="1" t="s">
        <v>59</v>
      </c>
      <c r="E1" s="1" t="s">
        <v>1646</v>
      </c>
    </row>
    <row r="2" spans="1:5">
      <c r="A2" s="2" t="s">
        <v>307</v>
      </c>
      <c r="B2" s="2">
        <v>25000</v>
      </c>
      <c r="C2" s="2">
        <v>900</v>
      </c>
      <c r="D2" s="7">
        <f t="shared" ref="D2:D7" si="0">B2-C2</f>
        <v>24100</v>
      </c>
      <c r="E2" s="55" t="s">
        <v>3382</v>
      </c>
    </row>
    <row r="3" spans="1:5">
      <c r="A3" s="2" t="s">
        <v>308</v>
      </c>
      <c r="B3" s="2">
        <v>25550</v>
      </c>
      <c r="C3" s="2">
        <v>1000</v>
      </c>
      <c r="D3" s="7">
        <f t="shared" si="0"/>
        <v>24550</v>
      </c>
      <c r="E3" s="55" t="s">
        <v>3385</v>
      </c>
    </row>
    <row r="4" spans="1:5">
      <c r="A4" s="2" t="s">
        <v>309</v>
      </c>
      <c r="B4" s="2">
        <v>26000</v>
      </c>
      <c r="C4" s="2">
        <v>1200</v>
      </c>
      <c r="D4" s="7">
        <f t="shared" si="0"/>
        <v>24800</v>
      </c>
      <c r="E4" s="55" t="s">
        <v>3386</v>
      </c>
    </row>
    <row r="5" spans="1:5">
      <c r="A5" s="2" t="s">
        <v>310</v>
      </c>
      <c r="B5" s="2">
        <v>24000</v>
      </c>
      <c r="C5" s="2">
        <v>950</v>
      </c>
      <c r="D5" s="7">
        <f t="shared" si="0"/>
        <v>23050</v>
      </c>
      <c r="E5" s="55" t="s">
        <v>3387</v>
      </c>
    </row>
    <row r="6" spans="1:5">
      <c r="A6" s="2" t="s">
        <v>51</v>
      </c>
      <c r="B6" s="2">
        <v>24890</v>
      </c>
      <c r="C6" s="2">
        <v>960</v>
      </c>
      <c r="D6" s="7">
        <f t="shared" si="0"/>
        <v>23930</v>
      </c>
      <c r="E6" s="55" t="s">
        <v>3383</v>
      </c>
    </row>
    <row r="7" spans="1:5">
      <c r="A7" s="2" t="s">
        <v>311</v>
      </c>
      <c r="B7" s="2">
        <v>25950</v>
      </c>
      <c r="C7" s="2">
        <v>800</v>
      </c>
      <c r="D7" s="7">
        <f t="shared" si="0"/>
        <v>25150</v>
      </c>
      <c r="E7" s="55" t="s">
        <v>3384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762C-BFC9-4DD9-A11E-F39BDB86EC07}">
  <sheetPr codeName="Sheet368"/>
  <dimension ref="A1:B6"/>
  <sheetViews>
    <sheetView workbookViewId="0">
      <selection activeCell="C1" sqref="C1"/>
    </sheetView>
  </sheetViews>
  <sheetFormatPr defaultRowHeight="14.4"/>
  <cols>
    <col min="1" max="1" width="19" bestFit="1" customWidth="1"/>
    <col min="2" max="2" width="21.5546875" bestFit="1" customWidth="1"/>
  </cols>
  <sheetData>
    <row r="1" spans="1:2" ht="16.2">
      <c r="A1" s="98" t="s">
        <v>3389</v>
      </c>
      <c r="B1" s="1" t="s">
        <v>3388</v>
      </c>
    </row>
    <row r="2" spans="1:2">
      <c r="A2" s="2">
        <v>5</v>
      </c>
      <c r="B2" s="18">
        <f>A2*A2</f>
        <v>25</v>
      </c>
    </row>
    <row r="3" spans="1:2">
      <c r="A3" s="2">
        <v>10</v>
      </c>
      <c r="B3" s="18">
        <f>A3*A3</f>
        <v>100</v>
      </c>
    </row>
    <row r="4" spans="1:2">
      <c r="A4" s="2">
        <v>15</v>
      </c>
      <c r="B4" s="18">
        <f>A4*A4</f>
        <v>225</v>
      </c>
    </row>
    <row r="5" spans="1:2">
      <c r="A5" s="2">
        <v>20</v>
      </c>
      <c r="B5" s="18">
        <f>A5*A5</f>
        <v>400</v>
      </c>
    </row>
    <row r="6" spans="1:2">
      <c r="A6" s="2">
        <v>25</v>
      </c>
      <c r="B6" s="18">
        <f>A6*A6</f>
        <v>625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419E-4960-45EE-B85B-D915DF8E3E4E}">
  <sheetPr codeName="Sheet369"/>
  <dimension ref="A1:C6"/>
  <sheetViews>
    <sheetView workbookViewId="0"/>
  </sheetViews>
  <sheetFormatPr defaultRowHeight="14.4"/>
  <cols>
    <col min="1" max="1" width="23.5546875" bestFit="1" customWidth="1"/>
    <col min="2" max="2" width="24.6640625" bestFit="1" customWidth="1"/>
    <col min="3" max="3" width="26.44140625" bestFit="1" customWidth="1"/>
  </cols>
  <sheetData>
    <row r="1" spans="1:3">
      <c r="A1" s="1" t="s">
        <v>3391</v>
      </c>
      <c r="B1" s="1" t="s">
        <v>3392</v>
      </c>
      <c r="C1" s="1" t="s">
        <v>3390</v>
      </c>
    </row>
    <row r="2" spans="1:3">
      <c r="A2" s="2">
        <v>10</v>
      </c>
      <c r="B2" s="2">
        <v>20</v>
      </c>
      <c r="C2" s="7">
        <f>2*(A2+B2)</f>
        <v>60</v>
      </c>
    </row>
    <row r="3" spans="1:3">
      <c r="A3" s="2">
        <v>30</v>
      </c>
      <c r="B3" s="2">
        <v>40</v>
      </c>
      <c r="C3" s="7">
        <f>2*(A3+B3)</f>
        <v>140</v>
      </c>
    </row>
    <row r="4" spans="1:3">
      <c r="A4" s="2">
        <v>50</v>
      </c>
      <c r="B4" s="2">
        <v>60</v>
      </c>
      <c r="C4" s="7">
        <f>2*(A4+B4)</f>
        <v>220</v>
      </c>
    </row>
    <row r="5" spans="1:3">
      <c r="A5" s="2">
        <v>70</v>
      </c>
      <c r="B5" s="2">
        <v>80</v>
      </c>
      <c r="C5" s="7">
        <f>2*(A5+B5)</f>
        <v>300</v>
      </c>
    </row>
    <row r="6" spans="1:3">
      <c r="A6" s="2">
        <v>90</v>
      </c>
      <c r="B6" s="2">
        <v>100</v>
      </c>
      <c r="C6" s="7">
        <f>2*(A6+B6)</f>
        <v>380</v>
      </c>
    </row>
  </sheetData>
  <pageMargins left="0.7" right="0.7" top="0.75" bottom="0.75" header="0.3" footer="0.3"/>
  <pageSetup orientation="portrait" horizontalDpi="4294967293" verticalDpi="0"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E18F-ABB6-4896-8B80-A096CC7A2DAF}">
  <sheetPr codeName="Sheet370"/>
  <dimension ref="A1:G11"/>
  <sheetViews>
    <sheetView workbookViewId="0">
      <selection activeCell="G13" sqref="G13"/>
    </sheetView>
  </sheetViews>
  <sheetFormatPr defaultRowHeight="14.4"/>
  <cols>
    <col min="1" max="1" width="6.5546875" customWidth="1"/>
    <col min="2" max="2" width="12.88671875" customWidth="1"/>
    <col min="3" max="3" width="8.109375" bestFit="1" customWidth="1"/>
    <col min="5" max="5" width="35.44140625" bestFit="1" customWidth="1"/>
    <col min="6" max="6" width="10.6640625" customWidth="1"/>
    <col min="7" max="7" width="61.6640625" bestFit="1" customWidth="1"/>
  </cols>
  <sheetData>
    <row r="1" spans="1:7">
      <c r="A1" s="1" t="s">
        <v>130</v>
      </c>
      <c r="B1" s="1" t="s">
        <v>3393</v>
      </c>
      <c r="C1" s="1" t="s">
        <v>357</v>
      </c>
      <c r="E1" s="58" t="s">
        <v>130</v>
      </c>
      <c r="F1" s="2" t="s">
        <v>131</v>
      </c>
    </row>
    <row r="2" spans="1:7">
      <c r="A2" s="2" t="s">
        <v>131</v>
      </c>
      <c r="B2" s="2" t="s">
        <v>3394</v>
      </c>
      <c r="C2" s="2">
        <v>2000</v>
      </c>
      <c r="E2" s="226" t="s">
        <v>3393</v>
      </c>
      <c r="F2" s="2" t="s">
        <v>3394</v>
      </c>
    </row>
    <row r="3" spans="1:7">
      <c r="A3" s="2" t="s">
        <v>132</v>
      </c>
      <c r="B3" s="2" t="s">
        <v>3395</v>
      </c>
      <c r="C3" s="2">
        <v>2300</v>
      </c>
    </row>
    <row r="4" spans="1:7">
      <c r="A4" s="2" t="s">
        <v>133</v>
      </c>
      <c r="B4" s="2" t="s">
        <v>3396</v>
      </c>
      <c r="C4" s="2">
        <v>1000</v>
      </c>
      <c r="E4" s="105"/>
      <c r="G4" s="1" t="s">
        <v>2125</v>
      </c>
    </row>
    <row r="5" spans="1:7">
      <c r="A5" s="2" t="s">
        <v>132</v>
      </c>
      <c r="B5" s="2" t="s">
        <v>3395</v>
      </c>
      <c r="C5" s="2">
        <v>2500</v>
      </c>
      <c r="E5" s="1" t="s">
        <v>3400</v>
      </c>
      <c r="F5" s="7">
        <f>SUMIF(A2:A11,F1,C2:C11)+SUMIF(B2:B11,F2,C2:C11)</f>
        <v>18000</v>
      </c>
      <c r="G5" s="65" t="s">
        <v>3402</v>
      </c>
    </row>
    <row r="6" spans="1:7">
      <c r="A6" s="2" t="s">
        <v>131</v>
      </c>
      <c r="B6" s="2" t="s">
        <v>3394</v>
      </c>
      <c r="C6" s="2">
        <v>2900</v>
      </c>
      <c r="E6" s="1" t="s">
        <v>3401</v>
      </c>
      <c r="F6" s="7">
        <f>SUMIFS(C2:C11,A2:A11,F1,B2:B11,F2)</f>
        <v>7600</v>
      </c>
      <c r="G6" s="65" t="s">
        <v>3403</v>
      </c>
    </row>
    <row r="7" spans="1:7">
      <c r="A7" s="2" t="s">
        <v>131</v>
      </c>
      <c r="B7" s="2" t="s">
        <v>3398</v>
      </c>
      <c r="C7" s="2">
        <v>2800</v>
      </c>
      <c r="E7" s="105"/>
    </row>
    <row r="8" spans="1:7">
      <c r="A8" s="2" t="s">
        <v>133</v>
      </c>
      <c r="B8" s="2" t="s">
        <v>3398</v>
      </c>
      <c r="C8" s="2">
        <v>1400</v>
      </c>
      <c r="E8" s="105"/>
    </row>
    <row r="9" spans="1:7">
      <c r="A9" s="2" t="s">
        <v>132</v>
      </c>
      <c r="B9" s="2" t="s">
        <v>3397</v>
      </c>
      <c r="C9" s="2">
        <v>1500</v>
      </c>
    </row>
    <row r="10" spans="1:7">
      <c r="A10" s="2" t="s">
        <v>132</v>
      </c>
      <c r="B10" s="2" t="s">
        <v>3399</v>
      </c>
      <c r="C10" s="2">
        <v>2100</v>
      </c>
    </row>
    <row r="11" spans="1:7">
      <c r="A11" s="2" t="s">
        <v>131</v>
      </c>
      <c r="B11" s="2" t="s">
        <v>3394</v>
      </c>
      <c r="C11" s="2">
        <v>2700</v>
      </c>
    </row>
  </sheetData>
  <pageMargins left="0.7" right="0.7" top="0.75" bottom="0.75" header="0.3" footer="0.3"/>
  <pageSetup orientation="portrait" horizontalDpi="4294967293" verticalDpi="0"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1146-34F3-46F2-9517-41F45F46B9C6}">
  <sheetPr codeName="Sheet371"/>
  <dimension ref="A1:E15"/>
  <sheetViews>
    <sheetView workbookViewId="0">
      <selection activeCell="G13" sqref="G13"/>
    </sheetView>
  </sheetViews>
  <sheetFormatPr defaultRowHeight="14.4"/>
  <cols>
    <col min="2" max="2" width="18.44140625" bestFit="1" customWidth="1"/>
    <col min="3" max="5" width="13.109375" bestFit="1" customWidth="1"/>
  </cols>
  <sheetData>
    <row r="1" spans="1:5">
      <c r="A1" s="1" t="s">
        <v>201</v>
      </c>
      <c r="B1" s="1" t="s">
        <v>3404</v>
      </c>
      <c r="C1" s="1" t="s">
        <v>3411</v>
      </c>
      <c r="D1" s="1" t="s">
        <v>3412</v>
      </c>
      <c r="E1" s="1" t="s">
        <v>3413</v>
      </c>
    </row>
    <row r="2" spans="1:5">
      <c r="A2" s="2" t="s">
        <v>3405</v>
      </c>
      <c r="B2" s="2" t="s">
        <v>3408</v>
      </c>
      <c r="C2" s="53">
        <v>2500</v>
      </c>
      <c r="D2" s="53">
        <v>2700</v>
      </c>
      <c r="E2" s="53">
        <v>2900</v>
      </c>
    </row>
    <row r="3" spans="1:5">
      <c r="A3" s="2" t="s">
        <v>3405</v>
      </c>
      <c r="B3" s="2" t="s">
        <v>3409</v>
      </c>
      <c r="C3" s="53">
        <v>2000</v>
      </c>
      <c r="D3" s="53">
        <v>1900</v>
      </c>
      <c r="E3" s="53">
        <v>1000</v>
      </c>
    </row>
    <row r="4" spans="1:5">
      <c r="A4" s="2" t="s">
        <v>3406</v>
      </c>
      <c r="B4" s="2" t="s">
        <v>3409</v>
      </c>
      <c r="C4" s="53">
        <v>1400</v>
      </c>
      <c r="D4" s="53">
        <v>1500</v>
      </c>
      <c r="E4" s="53">
        <v>1500</v>
      </c>
    </row>
    <row r="5" spans="1:5">
      <c r="A5" s="2" t="s">
        <v>3407</v>
      </c>
      <c r="B5" s="2" t="s">
        <v>3408</v>
      </c>
      <c r="C5" s="53">
        <v>1200</v>
      </c>
      <c r="D5" s="53">
        <v>1000</v>
      </c>
      <c r="E5" s="53">
        <v>900</v>
      </c>
    </row>
    <row r="6" spans="1:5">
      <c r="A6" s="2" t="s">
        <v>3406</v>
      </c>
      <c r="B6" s="2" t="s">
        <v>3410</v>
      </c>
      <c r="C6" s="53">
        <v>2000</v>
      </c>
      <c r="D6" s="53">
        <v>2100</v>
      </c>
      <c r="E6" s="53">
        <v>2300</v>
      </c>
    </row>
    <row r="7" spans="1:5">
      <c r="A7" s="2" t="s">
        <v>3405</v>
      </c>
      <c r="B7" s="2" t="s">
        <v>3410</v>
      </c>
      <c r="C7" s="53">
        <v>1900</v>
      </c>
      <c r="D7" s="53">
        <v>1800</v>
      </c>
      <c r="E7" s="53">
        <v>2000</v>
      </c>
    </row>
    <row r="8" spans="1:5">
      <c r="A8" s="2" t="s">
        <v>3407</v>
      </c>
      <c r="B8" s="2" t="s">
        <v>3410</v>
      </c>
      <c r="C8" s="53">
        <v>1500</v>
      </c>
      <c r="D8" s="53">
        <v>1900</v>
      </c>
      <c r="E8" s="53">
        <v>2000</v>
      </c>
    </row>
    <row r="9" spans="1:5">
      <c r="A9" s="2" t="s">
        <v>3407</v>
      </c>
      <c r="B9" s="2" t="s">
        <v>3409</v>
      </c>
      <c r="C9" s="53">
        <v>1800</v>
      </c>
      <c r="D9" s="53">
        <v>1900</v>
      </c>
      <c r="E9" s="53">
        <v>2100</v>
      </c>
    </row>
    <row r="10" spans="1:5">
      <c r="A10" s="2" t="s">
        <v>3406</v>
      </c>
      <c r="B10" s="2" t="s">
        <v>3408</v>
      </c>
      <c r="C10" s="53">
        <v>2400</v>
      </c>
      <c r="D10" s="53">
        <v>2800</v>
      </c>
      <c r="E10" s="53">
        <v>3000</v>
      </c>
    </row>
    <row r="13" spans="1:5">
      <c r="A13" s="1" t="s">
        <v>3414</v>
      </c>
      <c r="B13" s="1" t="s">
        <v>3415</v>
      </c>
    </row>
    <row r="14" spans="1:5">
      <c r="A14" s="2" t="s">
        <v>3408</v>
      </c>
      <c r="B14" s="448">
        <f>SUMIF(B2:B10,A14,E2:E10)+SUMIF(B2:B10,A15,E2:E10)</f>
        <v>11400</v>
      </c>
    </row>
    <row r="15" spans="1:5">
      <c r="A15" s="2" t="s">
        <v>3409</v>
      </c>
      <c r="B15" s="448"/>
    </row>
  </sheetData>
  <mergeCells count="1">
    <mergeCell ref="B14:B15"/>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FCC4-574F-4763-BA3F-A5514497D67C}">
  <sheetPr codeName="Sheet372"/>
  <dimension ref="A1:F9"/>
  <sheetViews>
    <sheetView workbookViewId="0">
      <selection activeCell="G13" sqref="G13"/>
    </sheetView>
  </sheetViews>
  <sheetFormatPr defaultRowHeight="14.4"/>
  <cols>
    <col min="1" max="1" width="28.88671875" bestFit="1" customWidth="1"/>
    <col min="2" max="2" width="12" bestFit="1" customWidth="1"/>
    <col min="3" max="3" width="22.5546875" bestFit="1" customWidth="1"/>
    <col min="6" max="6" width="45.33203125" bestFit="1" customWidth="1"/>
  </cols>
  <sheetData>
    <row r="1" spans="1:6">
      <c r="A1" s="1" t="s">
        <v>78</v>
      </c>
      <c r="B1" s="1" t="s">
        <v>441</v>
      </c>
      <c r="C1" s="1" t="s">
        <v>2195</v>
      </c>
      <c r="F1" s="1" t="s">
        <v>3423</v>
      </c>
    </row>
    <row r="2" spans="1:6">
      <c r="A2" s="2" t="s">
        <v>3416</v>
      </c>
      <c r="B2" s="20">
        <v>44576</v>
      </c>
      <c r="C2" s="2">
        <v>350</v>
      </c>
      <c r="F2" s="7">
        <f>SUMIF(A2:A9,"*Samsung*",C2:C9)+SUMIF(A2:A9,"*Apple*",C2:C9)</f>
        <v>1665</v>
      </c>
    </row>
    <row r="3" spans="1:6">
      <c r="A3" s="2" t="s">
        <v>3417</v>
      </c>
      <c r="B3" s="20">
        <v>44579</v>
      </c>
      <c r="C3" s="2">
        <v>300</v>
      </c>
    </row>
    <row r="4" spans="1:6">
      <c r="A4" s="2" t="s">
        <v>1524</v>
      </c>
      <c r="B4" s="20">
        <v>44590</v>
      </c>
      <c r="C4" s="2">
        <v>290</v>
      </c>
    </row>
    <row r="5" spans="1:6">
      <c r="A5" s="2" t="s">
        <v>3418</v>
      </c>
      <c r="B5" s="20">
        <v>44602</v>
      </c>
      <c r="C5" s="2">
        <v>265</v>
      </c>
    </row>
    <row r="6" spans="1:6">
      <c r="A6" s="2" t="s">
        <v>3419</v>
      </c>
      <c r="B6" s="20">
        <v>44608</v>
      </c>
      <c r="C6" s="2">
        <v>250</v>
      </c>
    </row>
    <row r="7" spans="1:6">
      <c r="A7" s="2" t="s">
        <v>3420</v>
      </c>
      <c r="B7" s="20">
        <v>44617</v>
      </c>
      <c r="C7" s="2">
        <v>230</v>
      </c>
    </row>
    <row r="8" spans="1:6">
      <c r="A8" s="2" t="s">
        <v>3421</v>
      </c>
      <c r="B8" s="20">
        <v>44633</v>
      </c>
      <c r="C8" s="2">
        <v>200</v>
      </c>
    </row>
    <row r="9" spans="1:6">
      <c r="A9" s="2" t="s">
        <v>3422</v>
      </c>
      <c r="B9" s="20">
        <v>44639</v>
      </c>
      <c r="C9" s="2">
        <v>210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18CBE-493E-4D63-B9F5-236517162141}">
  <sheetPr codeName="Sheet373"/>
  <dimension ref="A1:F11"/>
  <sheetViews>
    <sheetView workbookViewId="0">
      <selection activeCell="G13" sqref="G13"/>
    </sheetView>
  </sheetViews>
  <sheetFormatPr defaultRowHeight="14.4"/>
  <cols>
    <col min="1" max="1" width="9.109375" customWidth="1"/>
    <col min="2" max="2" width="10.33203125" bestFit="1" customWidth="1"/>
    <col min="3" max="3" width="13.5546875" bestFit="1" customWidth="1"/>
    <col min="6" max="6" width="38.44140625" bestFit="1" customWidth="1"/>
  </cols>
  <sheetData>
    <row r="1" spans="1:6">
      <c r="A1" s="1" t="s">
        <v>354</v>
      </c>
      <c r="B1" s="1" t="s">
        <v>3424</v>
      </c>
      <c r="C1" s="1" t="s">
        <v>2034</v>
      </c>
      <c r="F1" s="1" t="s">
        <v>3429</v>
      </c>
    </row>
    <row r="2" spans="1:6">
      <c r="A2" s="2" t="s">
        <v>342</v>
      </c>
      <c r="B2" s="2" t="s">
        <v>3425</v>
      </c>
      <c r="C2" s="2">
        <v>2000</v>
      </c>
      <c r="F2" s="7">
        <f>SUM(SUMIF(B2:B11,{"Grade 1","Grade 2","Grade 3"},C2:C11))</f>
        <v>13100</v>
      </c>
    </row>
    <row r="3" spans="1:6">
      <c r="A3" s="2" t="s">
        <v>342</v>
      </c>
      <c r="B3" s="2" t="s">
        <v>3426</v>
      </c>
      <c r="C3" s="2">
        <v>1000</v>
      </c>
    </row>
    <row r="4" spans="1:6">
      <c r="A4" s="2" t="s">
        <v>341</v>
      </c>
      <c r="B4" s="2" t="s">
        <v>3425</v>
      </c>
      <c r="C4" s="2">
        <v>2300</v>
      </c>
    </row>
    <row r="5" spans="1:6">
      <c r="A5" s="2" t="s">
        <v>343</v>
      </c>
      <c r="B5" s="2" t="s">
        <v>3428</v>
      </c>
      <c r="C5" s="2">
        <v>2500</v>
      </c>
    </row>
    <row r="6" spans="1:6">
      <c r="A6" s="2" t="s">
        <v>343</v>
      </c>
      <c r="B6" s="2" t="s">
        <v>3427</v>
      </c>
      <c r="C6" s="2">
        <v>2100</v>
      </c>
    </row>
    <row r="7" spans="1:6">
      <c r="A7" s="2" t="s">
        <v>341</v>
      </c>
      <c r="B7" s="2" t="s">
        <v>3426</v>
      </c>
      <c r="C7" s="2">
        <v>2200</v>
      </c>
    </row>
    <row r="8" spans="1:6">
      <c r="A8" s="2" t="s">
        <v>343</v>
      </c>
      <c r="B8" s="2" t="s">
        <v>3428</v>
      </c>
      <c r="C8" s="2">
        <v>1500</v>
      </c>
    </row>
    <row r="9" spans="1:6">
      <c r="A9" s="2" t="s">
        <v>342</v>
      </c>
      <c r="B9" s="2" t="s">
        <v>3427</v>
      </c>
      <c r="C9" s="2">
        <v>1100</v>
      </c>
    </row>
    <row r="10" spans="1:6">
      <c r="A10" s="2" t="s">
        <v>346</v>
      </c>
      <c r="B10" s="2" t="s">
        <v>3428</v>
      </c>
      <c r="C10" s="2">
        <v>2200</v>
      </c>
    </row>
    <row r="11" spans="1:6">
      <c r="A11" s="2" t="s">
        <v>346</v>
      </c>
      <c r="B11" s="2" t="s">
        <v>3426</v>
      </c>
      <c r="C11" s="2">
        <v>2400</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3BDF-AB32-4A84-9DDA-C7D31B538F37}">
  <sheetPr codeName="Sheet374"/>
  <dimension ref="A1:G11"/>
  <sheetViews>
    <sheetView workbookViewId="0">
      <selection activeCell="G13" sqref="G13"/>
    </sheetView>
  </sheetViews>
  <sheetFormatPr defaultRowHeight="14.4"/>
  <cols>
    <col min="1" max="1" width="14.88671875" bestFit="1" customWidth="1"/>
    <col min="2" max="2" width="14.44140625" customWidth="1"/>
    <col min="3" max="3" width="27.44140625" bestFit="1" customWidth="1"/>
    <col min="6" max="6" width="43.109375" bestFit="1" customWidth="1"/>
    <col min="7" max="7" width="13.88671875" bestFit="1" customWidth="1"/>
  </cols>
  <sheetData>
    <row r="1" spans="1:7">
      <c r="A1" s="1" t="s">
        <v>155</v>
      </c>
      <c r="B1" s="1" t="s">
        <v>369</v>
      </c>
      <c r="C1" s="1" t="s">
        <v>3442</v>
      </c>
      <c r="F1" s="1" t="s">
        <v>3430</v>
      </c>
      <c r="G1" s="2" t="s">
        <v>381</v>
      </c>
    </row>
    <row r="2" spans="1:7">
      <c r="A2" s="3" t="s">
        <v>3432</v>
      </c>
      <c r="B2" s="2" t="s">
        <v>381</v>
      </c>
      <c r="C2" s="2">
        <v>53</v>
      </c>
      <c r="F2" s="1" t="s">
        <v>3431</v>
      </c>
      <c r="G2" s="2" t="s">
        <v>382</v>
      </c>
    </row>
    <row r="3" spans="1:7">
      <c r="A3" s="3" t="s">
        <v>3433</v>
      </c>
      <c r="B3" s="2" t="s">
        <v>382</v>
      </c>
      <c r="C3" s="2">
        <v>89</v>
      </c>
      <c r="F3" s="1" t="s">
        <v>3443</v>
      </c>
      <c r="G3" s="7">
        <f>SUMPRODUCT(SUMIF(B2:B11,G1:G2,C2:C11))</f>
        <v>555</v>
      </c>
    </row>
    <row r="4" spans="1:7">
      <c r="A4" s="3" t="s">
        <v>3434</v>
      </c>
      <c r="B4" s="2" t="s">
        <v>381</v>
      </c>
      <c r="C4" s="2">
        <v>87</v>
      </c>
    </row>
    <row r="5" spans="1:7">
      <c r="A5" s="3" t="s">
        <v>3435</v>
      </c>
      <c r="B5" s="2" t="s">
        <v>382</v>
      </c>
      <c r="C5" s="2">
        <v>95</v>
      </c>
    </row>
    <row r="6" spans="1:7">
      <c r="A6" s="3" t="s">
        <v>3436</v>
      </c>
      <c r="B6" s="2" t="s">
        <v>383</v>
      </c>
      <c r="C6" s="2">
        <v>99</v>
      </c>
    </row>
    <row r="7" spans="1:7">
      <c r="A7" s="3" t="s">
        <v>3437</v>
      </c>
      <c r="B7" s="2" t="s">
        <v>381</v>
      </c>
      <c r="C7" s="2">
        <v>100</v>
      </c>
    </row>
    <row r="8" spans="1:7">
      <c r="A8" s="3" t="s">
        <v>3438</v>
      </c>
      <c r="B8" s="2" t="s">
        <v>381</v>
      </c>
      <c r="C8" s="2">
        <v>85</v>
      </c>
    </row>
    <row r="9" spans="1:7">
      <c r="A9" s="3" t="s">
        <v>3439</v>
      </c>
      <c r="B9" s="2" t="s">
        <v>382</v>
      </c>
      <c r="C9" s="2">
        <v>46</v>
      </c>
    </row>
    <row r="10" spans="1:7">
      <c r="A10" s="3" t="s">
        <v>3440</v>
      </c>
      <c r="B10" s="2" t="s">
        <v>383</v>
      </c>
      <c r="C10" s="2">
        <v>83</v>
      </c>
    </row>
    <row r="11" spans="1:7">
      <c r="A11" s="3" t="s">
        <v>3441</v>
      </c>
      <c r="B11" s="2" t="s">
        <v>383</v>
      </c>
      <c r="C11" s="2">
        <v>75</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AAB7-5DAE-4EA3-A3D9-5AD2D115627E}">
  <sheetPr codeName="Sheet375"/>
  <dimension ref="A1:G11"/>
  <sheetViews>
    <sheetView workbookViewId="0">
      <selection activeCell="G13" sqref="G13"/>
    </sheetView>
  </sheetViews>
  <sheetFormatPr defaultRowHeight="14.4"/>
  <cols>
    <col min="1" max="1" width="18.109375" bestFit="1" customWidth="1"/>
    <col min="2" max="2" width="22.44140625" bestFit="1" customWidth="1"/>
    <col min="3" max="3" width="12.44140625" bestFit="1" customWidth="1"/>
    <col min="6" max="6" width="34.88671875" bestFit="1" customWidth="1"/>
    <col min="7" max="7" width="11.88671875" bestFit="1" customWidth="1"/>
  </cols>
  <sheetData>
    <row r="1" spans="1:7">
      <c r="A1" s="1" t="s">
        <v>0</v>
      </c>
      <c r="B1" s="1" t="s">
        <v>97</v>
      </c>
      <c r="C1" s="1" t="s">
        <v>3444</v>
      </c>
      <c r="F1" s="1" t="s">
        <v>97</v>
      </c>
      <c r="G1" s="20" t="s">
        <v>394</v>
      </c>
    </row>
    <row r="2" spans="1:7">
      <c r="A2" s="3" t="s">
        <v>3445</v>
      </c>
      <c r="B2" s="20" t="s">
        <v>394</v>
      </c>
      <c r="C2" s="2">
        <v>20</v>
      </c>
      <c r="F2" s="1" t="s">
        <v>3448</v>
      </c>
      <c r="G2" s="3" t="s">
        <v>3445</v>
      </c>
    </row>
    <row r="3" spans="1:7">
      <c r="A3" s="3" t="s">
        <v>3445</v>
      </c>
      <c r="B3" s="20" t="s">
        <v>395</v>
      </c>
      <c r="C3" s="2">
        <v>25</v>
      </c>
      <c r="F3" s="1" t="s">
        <v>3449</v>
      </c>
      <c r="G3" s="3" t="s">
        <v>3447</v>
      </c>
    </row>
    <row r="4" spans="1:7">
      <c r="A4" s="3" t="s">
        <v>3446</v>
      </c>
      <c r="B4" s="20" t="s">
        <v>395</v>
      </c>
      <c r="C4" s="2">
        <v>20</v>
      </c>
      <c r="F4" s="25" t="s">
        <v>3450</v>
      </c>
      <c r="G4" s="7">
        <f>SUMIFS(C2:C11,B2:B11,G1,A2:A11,G2)+SUMIFS(C2:C11,B2:B11,G1,A2:A11,G3)</f>
        <v>71</v>
      </c>
    </row>
    <row r="5" spans="1:7">
      <c r="A5" s="3" t="s">
        <v>3447</v>
      </c>
      <c r="B5" s="20" t="s">
        <v>394</v>
      </c>
      <c r="C5" s="2">
        <v>30</v>
      </c>
    </row>
    <row r="6" spans="1:7">
      <c r="A6" s="3" t="s">
        <v>3446</v>
      </c>
      <c r="B6" s="20" t="s">
        <v>396</v>
      </c>
      <c r="C6" s="2">
        <v>24</v>
      </c>
    </row>
    <row r="7" spans="1:7">
      <c r="A7" s="3" t="s">
        <v>3446</v>
      </c>
      <c r="B7" s="20" t="s">
        <v>394</v>
      </c>
      <c r="C7" s="2">
        <v>29</v>
      </c>
    </row>
    <row r="8" spans="1:7">
      <c r="A8" s="3" t="s">
        <v>3447</v>
      </c>
      <c r="B8" s="20" t="s">
        <v>396</v>
      </c>
      <c r="C8" s="2">
        <v>25</v>
      </c>
    </row>
    <row r="9" spans="1:7">
      <c r="A9" s="3" t="s">
        <v>3447</v>
      </c>
      <c r="B9" s="20" t="s">
        <v>397</v>
      </c>
      <c r="C9" s="2">
        <v>22</v>
      </c>
    </row>
    <row r="10" spans="1:7">
      <c r="A10" s="3" t="s">
        <v>3445</v>
      </c>
      <c r="B10" s="20" t="s">
        <v>394</v>
      </c>
      <c r="C10" s="2">
        <v>21</v>
      </c>
    </row>
    <row r="11" spans="1:7">
      <c r="A11" s="3" t="s">
        <v>3447</v>
      </c>
      <c r="B11" s="20" t="s">
        <v>395</v>
      </c>
      <c r="C11" s="2">
        <v>20</v>
      </c>
    </row>
  </sheetData>
  <pageMargins left="0.7" right="0.7" top="0.75" bottom="0.75" header="0.3" footer="0.3"/>
  <pageSetup orientation="portrait" horizontalDpi="4294967293" verticalDpi="0"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B70D-8128-4C74-87FC-812696E8302B}">
  <sheetPr codeName="Sheet376"/>
  <dimension ref="A1:E13"/>
  <sheetViews>
    <sheetView workbookViewId="0">
      <selection activeCell="G13" sqref="G13"/>
    </sheetView>
  </sheetViews>
  <sheetFormatPr defaultRowHeight="14.4"/>
  <cols>
    <col min="1" max="1" width="9.88671875" bestFit="1" customWidth="1"/>
    <col min="2" max="2" width="12" bestFit="1" customWidth="1"/>
    <col min="4" max="4" width="8.33203125" bestFit="1" customWidth="1"/>
    <col min="5" max="5" width="16.88671875" bestFit="1" customWidth="1"/>
  </cols>
  <sheetData>
    <row r="1" spans="1:5">
      <c r="A1" s="1" t="s">
        <v>3134</v>
      </c>
      <c r="B1" s="1" t="s">
        <v>858</v>
      </c>
      <c r="D1" s="1" t="s">
        <v>3459</v>
      </c>
      <c r="E1" s="1" t="s">
        <v>87</v>
      </c>
    </row>
    <row r="2" spans="1:5">
      <c r="A2" s="227" t="s">
        <v>3460</v>
      </c>
      <c r="B2" s="53">
        <v>20000</v>
      </c>
      <c r="D2" s="2" t="s">
        <v>3147</v>
      </c>
      <c r="E2" s="449">
        <f>SUM(SUMIFS(B2:B13,A2:A13,{"Q2*","Q3*"}))</f>
        <v>104000</v>
      </c>
    </row>
    <row r="3" spans="1:5">
      <c r="A3" s="227" t="s">
        <v>3461</v>
      </c>
      <c r="B3" s="53">
        <v>21000</v>
      </c>
      <c r="D3" s="2" t="s">
        <v>3148</v>
      </c>
      <c r="E3" s="450"/>
    </row>
    <row r="4" spans="1:5">
      <c r="A4" s="227" t="s">
        <v>3462</v>
      </c>
      <c r="B4" s="53">
        <v>13000</v>
      </c>
    </row>
    <row r="5" spans="1:5">
      <c r="A5" s="227" t="s">
        <v>3463</v>
      </c>
      <c r="B5" s="53">
        <v>10000</v>
      </c>
    </row>
    <row r="6" spans="1:5">
      <c r="A6" s="227" t="s">
        <v>3451</v>
      </c>
      <c r="B6" s="53">
        <v>9000</v>
      </c>
    </row>
    <row r="7" spans="1:5">
      <c r="A7" s="227" t="s">
        <v>3452</v>
      </c>
      <c r="B7" s="53">
        <v>11000</v>
      </c>
    </row>
    <row r="8" spans="1:5">
      <c r="A8" s="227" t="s">
        <v>3453</v>
      </c>
      <c r="B8" s="53">
        <v>15000</v>
      </c>
    </row>
    <row r="9" spans="1:5">
      <c r="A9" s="227" t="s">
        <v>3454</v>
      </c>
      <c r="B9" s="53">
        <v>20000</v>
      </c>
    </row>
    <row r="10" spans="1:5">
      <c r="A10" s="227" t="s">
        <v>3455</v>
      </c>
      <c r="B10" s="53">
        <v>29000</v>
      </c>
    </row>
    <row r="11" spans="1:5">
      <c r="A11" s="227" t="s">
        <v>3456</v>
      </c>
      <c r="B11" s="53">
        <v>30000</v>
      </c>
    </row>
    <row r="12" spans="1:5">
      <c r="A12" s="227" t="s">
        <v>3457</v>
      </c>
      <c r="B12" s="53">
        <v>14000</v>
      </c>
    </row>
    <row r="13" spans="1:5">
      <c r="A13" s="227" t="s">
        <v>3458</v>
      </c>
      <c r="B13" s="53">
        <v>13000</v>
      </c>
    </row>
  </sheetData>
  <mergeCells count="1">
    <mergeCell ref="E2:E3"/>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A89E-40E0-45A1-8F1A-E9C94BE0B4D4}">
  <sheetPr codeName="Sheet377"/>
  <dimension ref="A1:E14"/>
  <sheetViews>
    <sheetView workbookViewId="0">
      <selection activeCell="G13" sqref="G13"/>
    </sheetView>
  </sheetViews>
  <sheetFormatPr defaultRowHeight="14.4"/>
  <cols>
    <col min="1" max="1" width="32.6640625" customWidth="1"/>
    <col min="2" max="2" width="7.5546875" bestFit="1" customWidth="1"/>
    <col min="3" max="3" width="15.88671875" bestFit="1" customWidth="1"/>
    <col min="4" max="4" width="12.5546875" bestFit="1" customWidth="1"/>
    <col min="5" max="5" width="10.109375" bestFit="1" customWidth="1"/>
  </cols>
  <sheetData>
    <row r="1" spans="1:5">
      <c r="A1" s="1" t="s">
        <v>3464</v>
      </c>
      <c r="B1" s="1" t="s">
        <v>3471</v>
      </c>
      <c r="C1" s="1" t="s">
        <v>3469</v>
      </c>
      <c r="D1" s="1" t="s">
        <v>1457</v>
      </c>
      <c r="E1" s="1" t="s">
        <v>706</v>
      </c>
    </row>
    <row r="2" spans="1:5">
      <c r="A2" s="2" t="s">
        <v>3465</v>
      </c>
      <c r="B2" s="2" t="s">
        <v>1844</v>
      </c>
      <c r="C2" s="3" t="s">
        <v>3474</v>
      </c>
      <c r="D2" s="2">
        <v>25</v>
      </c>
      <c r="E2" s="20">
        <v>44580</v>
      </c>
    </row>
    <row r="3" spans="1:5">
      <c r="A3" s="2" t="s">
        <v>3466</v>
      </c>
      <c r="B3" s="2" t="s">
        <v>3472</v>
      </c>
      <c r="C3" s="3" t="s">
        <v>3475</v>
      </c>
      <c r="D3" s="2">
        <v>22</v>
      </c>
      <c r="E3" s="20">
        <v>44585</v>
      </c>
    </row>
    <row r="4" spans="1:5">
      <c r="A4" s="2" t="s">
        <v>3467</v>
      </c>
      <c r="B4" s="2" t="s">
        <v>3473</v>
      </c>
      <c r="C4" s="3" t="s">
        <v>3</v>
      </c>
      <c r="D4" s="2">
        <v>21</v>
      </c>
      <c r="E4" s="20">
        <v>44595</v>
      </c>
    </row>
    <row r="5" spans="1:5">
      <c r="A5" s="2" t="s">
        <v>3468</v>
      </c>
      <c r="B5" s="2" t="s">
        <v>1844</v>
      </c>
      <c r="C5" s="3" t="s">
        <v>3474</v>
      </c>
      <c r="D5" s="2">
        <v>20</v>
      </c>
      <c r="E5" s="20">
        <v>44610</v>
      </c>
    </row>
    <row r="6" spans="1:5">
      <c r="A6" s="2" t="s">
        <v>3465</v>
      </c>
      <c r="B6" s="2" t="s">
        <v>3473</v>
      </c>
      <c r="C6" s="3" t="s">
        <v>3</v>
      </c>
      <c r="D6" s="2">
        <v>15</v>
      </c>
      <c r="E6" s="20">
        <v>44630</v>
      </c>
    </row>
    <row r="7" spans="1:5">
      <c r="A7" s="2" t="s">
        <v>3467</v>
      </c>
      <c r="B7" s="2" t="s">
        <v>3472</v>
      </c>
      <c r="C7" s="3" t="s">
        <v>3475</v>
      </c>
      <c r="D7" s="2">
        <v>10</v>
      </c>
      <c r="E7" s="20">
        <v>44645</v>
      </c>
    </row>
    <row r="8" spans="1:5">
      <c r="A8" s="2" t="s">
        <v>3466</v>
      </c>
      <c r="B8" s="2" t="s">
        <v>3473</v>
      </c>
      <c r="C8" s="3" t="s">
        <v>3</v>
      </c>
      <c r="D8" s="2">
        <v>13</v>
      </c>
      <c r="E8" s="20">
        <v>44652</v>
      </c>
    </row>
    <row r="9" spans="1:5">
      <c r="A9" s="2" t="s">
        <v>3468</v>
      </c>
      <c r="B9" s="2" t="s">
        <v>3473</v>
      </c>
      <c r="C9" s="3" t="s">
        <v>3</v>
      </c>
      <c r="D9" s="2">
        <v>11</v>
      </c>
      <c r="E9" s="20">
        <v>44661</v>
      </c>
    </row>
    <row r="10" spans="1:5">
      <c r="A10" s="2" t="s">
        <v>3465</v>
      </c>
      <c r="B10" s="2" t="s">
        <v>3472</v>
      </c>
      <c r="C10" s="3" t="s">
        <v>3475</v>
      </c>
      <c r="D10" s="2">
        <v>14</v>
      </c>
      <c r="E10" s="20">
        <v>44666</v>
      </c>
    </row>
    <row r="11" spans="1:5">
      <c r="A11" s="2" t="s">
        <v>3467</v>
      </c>
      <c r="B11" s="2" t="s">
        <v>1844</v>
      </c>
      <c r="C11" s="3" t="s">
        <v>3474</v>
      </c>
      <c r="D11" s="2">
        <v>9</v>
      </c>
      <c r="E11" s="20">
        <v>44671</v>
      </c>
    </row>
    <row r="14" spans="1:5" ht="43.2">
      <c r="A14" s="8" t="s">
        <v>3476</v>
      </c>
      <c r="B14" s="47">
        <f>SUM(SUMIFS(D2:D11,C2:C11,{"Angel Phelps","Stewart White"},E2:E11,"&gt;=2/1/2022",E2:E11,"&lt;=3/31/2022"))</f>
        <v>56</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9D-E4D3-477C-9BC7-C0402735B54D}">
  <sheetPr codeName="Sheet378"/>
  <dimension ref="A1:D13"/>
  <sheetViews>
    <sheetView workbookViewId="0"/>
  </sheetViews>
  <sheetFormatPr defaultRowHeight="14.4"/>
  <cols>
    <col min="1" max="1" width="13.44140625" customWidth="1"/>
    <col min="2" max="3" width="12" bestFit="1" customWidth="1"/>
    <col min="4" max="4" width="18.5546875" bestFit="1" customWidth="1"/>
    <col min="7" max="7" width="12" bestFit="1" customWidth="1"/>
  </cols>
  <sheetData>
    <row r="1" spans="1:4">
      <c r="A1" s="1" t="s">
        <v>201</v>
      </c>
      <c r="B1" s="1" t="s">
        <v>706</v>
      </c>
      <c r="C1" s="1" t="s">
        <v>441</v>
      </c>
      <c r="D1" s="1" t="s">
        <v>3483</v>
      </c>
    </row>
    <row r="2" spans="1:4">
      <c r="A2" s="2" t="s">
        <v>3477</v>
      </c>
      <c r="B2" s="20">
        <v>44563</v>
      </c>
      <c r="C2" s="20">
        <v>44566</v>
      </c>
      <c r="D2" s="53">
        <v>22000</v>
      </c>
    </row>
    <row r="3" spans="1:4">
      <c r="A3" s="2" t="s">
        <v>3478</v>
      </c>
      <c r="B3" s="20">
        <v>44579</v>
      </c>
      <c r="C3" s="20">
        <v>44583</v>
      </c>
      <c r="D3" s="53">
        <v>27000</v>
      </c>
    </row>
    <row r="4" spans="1:4">
      <c r="A4" s="2" t="s">
        <v>3479</v>
      </c>
      <c r="B4" s="2"/>
      <c r="C4" s="20">
        <v>44592</v>
      </c>
      <c r="D4" s="53">
        <v>24000</v>
      </c>
    </row>
    <row r="5" spans="1:4">
      <c r="A5" s="2" t="s">
        <v>3478</v>
      </c>
      <c r="B5" s="20">
        <v>44602</v>
      </c>
      <c r="C5" s="20">
        <v>44607</v>
      </c>
      <c r="D5" s="53">
        <v>19000</v>
      </c>
    </row>
    <row r="6" spans="1:4">
      <c r="A6" s="2" t="s">
        <v>3477</v>
      </c>
      <c r="B6" s="20">
        <v>44604</v>
      </c>
      <c r="C6" s="20">
        <v>44610</v>
      </c>
      <c r="D6" s="53">
        <v>23000</v>
      </c>
    </row>
    <row r="7" spans="1:4">
      <c r="A7" s="2" t="s">
        <v>3479</v>
      </c>
      <c r="B7" s="20">
        <v>44631</v>
      </c>
      <c r="C7" s="2"/>
      <c r="D7" s="53">
        <v>21000</v>
      </c>
    </row>
    <row r="8" spans="1:4">
      <c r="A8" s="2" t="s">
        <v>3481</v>
      </c>
      <c r="B8" s="20">
        <v>44634</v>
      </c>
      <c r="C8" s="20">
        <v>44637</v>
      </c>
      <c r="D8" s="53">
        <v>28000</v>
      </c>
    </row>
    <row r="9" spans="1:4">
      <c r="A9" s="2" t="s">
        <v>3479</v>
      </c>
      <c r="B9" s="20">
        <v>44640</v>
      </c>
      <c r="C9" s="20"/>
      <c r="D9" s="53">
        <v>18000</v>
      </c>
    </row>
    <row r="10" spans="1:4">
      <c r="A10" s="2" t="s">
        <v>3478</v>
      </c>
      <c r="C10" s="20">
        <v>44652</v>
      </c>
      <c r="D10" s="53">
        <v>10000</v>
      </c>
    </row>
    <row r="11" spans="1:4">
      <c r="A11" s="2" t="s">
        <v>3480</v>
      </c>
      <c r="B11" s="20">
        <v>44666</v>
      </c>
      <c r="C11" s="2"/>
      <c r="D11" s="53">
        <v>5000</v>
      </c>
    </row>
    <row r="13" spans="1:4" ht="48.6" customHeight="1">
      <c r="A13" s="8" t="s">
        <v>3482</v>
      </c>
      <c r="B13" s="202">
        <f>SUMIFS(D2:D11,B2:B11,"&lt;&gt;",C2:C11,"")</f>
        <v>44000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77D0-2164-4896-89D6-4B0A854C06BF}">
  <sheetPr codeName="Sheet379"/>
  <dimension ref="A1:G10"/>
  <sheetViews>
    <sheetView workbookViewId="0"/>
  </sheetViews>
  <sheetFormatPr defaultRowHeight="14.4"/>
  <cols>
    <col min="1" max="1" width="11.109375" bestFit="1" customWidth="1"/>
    <col min="6" max="6" width="13.5546875" bestFit="1" customWidth="1"/>
    <col min="7" max="7" width="9.88671875" bestFit="1" customWidth="1"/>
  </cols>
  <sheetData>
    <row r="1" spans="1:7">
      <c r="A1" s="1" t="s">
        <v>130</v>
      </c>
      <c r="B1" s="1" t="s">
        <v>3486</v>
      </c>
      <c r="C1" s="1" t="s">
        <v>3470</v>
      </c>
      <c r="F1" s="1" t="s">
        <v>3493</v>
      </c>
      <c r="G1" s="1" t="s">
        <v>3491</v>
      </c>
    </row>
    <row r="2" spans="1:7">
      <c r="A2" s="2" t="s">
        <v>3472</v>
      </c>
      <c r="B2" s="2" t="s">
        <v>3487</v>
      </c>
      <c r="C2" s="2">
        <v>20</v>
      </c>
      <c r="F2" s="2" t="s">
        <v>3492</v>
      </c>
      <c r="G2" s="7">
        <f>SUM(SUMIF(B2:B10,{"Apple","Acer"},C2:C10))</f>
        <v>295</v>
      </c>
    </row>
    <row r="3" spans="1:7">
      <c r="A3" s="2" t="s">
        <v>75</v>
      </c>
      <c r="B3" s="2" t="s">
        <v>340</v>
      </c>
      <c r="C3" s="2">
        <v>50</v>
      </c>
    </row>
    <row r="4" spans="1:7">
      <c r="A4" s="2" t="s">
        <v>3484</v>
      </c>
      <c r="B4" s="2" t="s">
        <v>340</v>
      </c>
      <c r="C4" s="2">
        <v>100</v>
      </c>
    </row>
    <row r="5" spans="1:7">
      <c r="A5" s="2" t="s">
        <v>3485</v>
      </c>
      <c r="B5" s="2" t="s">
        <v>2790</v>
      </c>
      <c r="C5" s="2">
        <v>25</v>
      </c>
    </row>
    <row r="6" spans="1:7">
      <c r="A6" s="2" t="s">
        <v>3472</v>
      </c>
      <c r="B6" s="2" t="s">
        <v>340</v>
      </c>
      <c r="C6" s="2">
        <v>45</v>
      </c>
    </row>
    <row r="7" spans="1:7">
      <c r="A7" s="2" t="s">
        <v>75</v>
      </c>
      <c r="B7" s="2" t="s">
        <v>3488</v>
      </c>
      <c r="C7" s="2">
        <v>150</v>
      </c>
    </row>
    <row r="8" spans="1:7">
      <c r="A8" s="2" t="s">
        <v>3472</v>
      </c>
      <c r="B8" s="2" t="s">
        <v>3490</v>
      </c>
      <c r="C8" s="2">
        <v>70</v>
      </c>
    </row>
    <row r="9" spans="1:7">
      <c r="A9" s="2" t="s">
        <v>75</v>
      </c>
      <c r="B9" s="2" t="s">
        <v>3489</v>
      </c>
      <c r="C9" s="2">
        <v>140</v>
      </c>
    </row>
    <row r="10" spans="1:7">
      <c r="A10" s="2" t="s">
        <v>3485</v>
      </c>
      <c r="B10" s="2" t="s">
        <v>3490</v>
      </c>
      <c r="C10" s="2">
        <v>30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90F5-D15E-4816-9728-C43215B26809}">
  <sheetPr codeName="Sheet380"/>
  <dimension ref="A1:B13"/>
  <sheetViews>
    <sheetView workbookViewId="0">
      <selection activeCell="D19" sqref="D19"/>
    </sheetView>
  </sheetViews>
  <sheetFormatPr defaultRowHeight="14.4"/>
  <cols>
    <col min="1" max="1" width="19.88671875" bestFit="1" customWidth="1"/>
    <col min="2" max="2" width="11.5546875" bestFit="1" customWidth="1"/>
  </cols>
  <sheetData>
    <row r="1" spans="1:2">
      <c r="A1" s="1" t="s">
        <v>3494</v>
      </c>
      <c r="B1" s="1" t="s">
        <v>3495</v>
      </c>
    </row>
    <row r="2" spans="1:2">
      <c r="A2" s="2">
        <v>70</v>
      </c>
      <c r="B2" s="2">
        <v>180</v>
      </c>
    </row>
    <row r="3" spans="1:2">
      <c r="A3" s="2">
        <v>75</v>
      </c>
      <c r="B3" s="2">
        <v>190</v>
      </c>
    </row>
    <row r="4" spans="1:2">
      <c r="A4" s="2">
        <v>76</v>
      </c>
      <c r="B4" s="2">
        <v>220</v>
      </c>
    </row>
    <row r="5" spans="1:2">
      <c r="A5" s="2">
        <v>78</v>
      </c>
      <c r="B5" s="2">
        <v>230</v>
      </c>
    </row>
    <row r="6" spans="1:2">
      <c r="A6" s="2">
        <v>71</v>
      </c>
      <c r="B6" s="2">
        <v>200</v>
      </c>
    </row>
    <row r="7" spans="1:2">
      <c r="A7" s="2">
        <v>73</v>
      </c>
      <c r="B7" s="2">
        <v>185</v>
      </c>
    </row>
    <row r="8" spans="1:2">
      <c r="A8" s="2">
        <v>79</v>
      </c>
      <c r="B8" s="2">
        <v>210</v>
      </c>
    </row>
    <row r="9" spans="1:2">
      <c r="A9" s="2">
        <v>74</v>
      </c>
      <c r="B9" s="2">
        <v>195</v>
      </c>
    </row>
    <row r="10" spans="1:2">
      <c r="A10" s="2">
        <v>72</v>
      </c>
      <c r="B10" s="2">
        <v>210</v>
      </c>
    </row>
    <row r="11" spans="1:2">
      <c r="A11" s="2">
        <v>77</v>
      </c>
      <c r="B11" s="2">
        <v>215</v>
      </c>
    </row>
    <row r="13" spans="1:2">
      <c r="A13" s="1" t="s">
        <v>3496</v>
      </c>
      <c r="B13" s="145">
        <f>CORREL(A2:A11,B2:B11)</f>
        <v>0.68664709758922082</v>
      </c>
    </row>
  </sheetData>
  <pageMargins left="0.7" right="0.7" top="0.75" bottom="0.75" header="0.3" footer="0.3"/>
  <pageSetup orientation="portrait" horizontalDpi="4294967293" verticalDpi="0"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5081-4FB9-4BD7-A274-593D2A59DE00}">
  <sheetPr codeName="Sheet381"/>
  <dimension ref="A1:E11"/>
  <sheetViews>
    <sheetView workbookViewId="0">
      <selection activeCell="D19" sqref="D19"/>
    </sheetView>
  </sheetViews>
  <sheetFormatPr defaultRowHeight="14.4"/>
  <cols>
    <col min="4" max="4" width="19.88671875" bestFit="1" customWidth="1"/>
  </cols>
  <sheetData>
    <row r="1" spans="1:5">
      <c r="A1" s="1" t="s">
        <v>3497</v>
      </c>
      <c r="B1" s="1" t="s">
        <v>3498</v>
      </c>
      <c r="D1" s="1" t="s">
        <v>3496</v>
      </c>
      <c r="E1" s="7">
        <f>CORREL(A2:A11,B2:B11)</f>
        <v>1</v>
      </c>
    </row>
    <row r="2" spans="1:5">
      <c r="A2" s="2">
        <v>1</v>
      </c>
      <c r="B2" s="2">
        <v>5</v>
      </c>
    </row>
    <row r="3" spans="1:5">
      <c r="A3" s="2">
        <v>2</v>
      </c>
      <c r="B3" s="2">
        <v>10</v>
      </c>
    </row>
    <row r="4" spans="1:5">
      <c r="A4" s="2">
        <v>3</v>
      </c>
      <c r="B4" s="2">
        <v>15</v>
      </c>
    </row>
    <row r="5" spans="1:5">
      <c r="A5" s="2">
        <v>4</v>
      </c>
      <c r="B5" s="2">
        <v>20</v>
      </c>
    </row>
    <row r="6" spans="1:5">
      <c r="A6" s="2">
        <v>5</v>
      </c>
      <c r="B6" s="2">
        <v>25</v>
      </c>
    </row>
    <row r="7" spans="1:5">
      <c r="A7" s="2">
        <v>6</v>
      </c>
      <c r="B7" s="2">
        <v>30</v>
      </c>
    </row>
    <row r="8" spans="1:5">
      <c r="A8" s="2">
        <v>7</v>
      </c>
      <c r="B8" s="2">
        <v>35</v>
      </c>
    </row>
    <row r="9" spans="1:5">
      <c r="A9" s="2">
        <v>8</v>
      </c>
      <c r="B9" s="2">
        <v>40</v>
      </c>
    </row>
    <row r="10" spans="1:5">
      <c r="A10" s="2">
        <v>9</v>
      </c>
      <c r="B10" s="2">
        <v>45</v>
      </c>
    </row>
    <row r="11" spans="1:5">
      <c r="A11" s="2">
        <v>10</v>
      </c>
      <c r="B11" s="2">
        <v>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E1844-7DB3-4EDB-AC91-FBADC6405AFC}">
  <sheetPr codeName="Sheet382"/>
  <dimension ref="A1:I12"/>
  <sheetViews>
    <sheetView workbookViewId="0">
      <selection activeCell="D19" sqref="D19"/>
    </sheetView>
  </sheetViews>
  <sheetFormatPr defaultRowHeight="14.4"/>
  <cols>
    <col min="1" max="1" width="15.5546875" bestFit="1" customWidth="1"/>
    <col min="2" max="2" width="14.44140625" bestFit="1" customWidth="1"/>
    <col min="5" max="5" width="8.5546875" bestFit="1" customWidth="1"/>
    <col min="6" max="6" width="12.44140625" bestFit="1" customWidth="1"/>
    <col min="7" max="7" width="16.5546875" bestFit="1" customWidth="1"/>
    <col min="8" max="8" width="9.33203125" bestFit="1" customWidth="1"/>
    <col min="9" max="9" width="11.88671875" bestFit="1" customWidth="1"/>
  </cols>
  <sheetData>
    <row r="1" spans="1:9">
      <c r="A1" s="1" t="s">
        <v>3509</v>
      </c>
      <c r="B1" s="1" t="s">
        <v>3510</v>
      </c>
      <c r="E1" s="369" t="s">
        <v>3501</v>
      </c>
      <c r="F1" s="369"/>
      <c r="G1" s="369"/>
      <c r="H1" s="369"/>
      <c r="I1" s="369"/>
    </row>
    <row r="2" spans="1:9" ht="15.6">
      <c r="A2" s="2">
        <v>3</v>
      </c>
      <c r="B2" s="2">
        <v>30</v>
      </c>
      <c r="E2" s="228" t="s">
        <v>3502</v>
      </c>
      <c r="F2" s="7">
        <f>SUM(A2:A7)/6</f>
        <v>8.5</v>
      </c>
      <c r="G2" s="7"/>
      <c r="H2" s="228" t="s">
        <v>3503</v>
      </c>
      <c r="I2" s="7">
        <f>SUM(B2:B7)/6</f>
        <v>56.666666666666664</v>
      </c>
    </row>
    <row r="3" spans="1:9" ht="16.2">
      <c r="A3" s="2">
        <v>7</v>
      </c>
      <c r="B3" s="2">
        <v>40</v>
      </c>
      <c r="E3" s="228" t="s">
        <v>3504</v>
      </c>
      <c r="F3" s="228" t="s">
        <v>3505</v>
      </c>
      <c r="G3" s="228" t="s">
        <v>3508</v>
      </c>
      <c r="H3" s="228" t="s">
        <v>3506</v>
      </c>
      <c r="I3" s="228" t="s">
        <v>3507</v>
      </c>
    </row>
    <row r="4" spans="1:9">
      <c r="A4" s="2">
        <v>2</v>
      </c>
      <c r="B4" s="2">
        <v>20</v>
      </c>
      <c r="E4" s="2">
        <f t="shared" ref="E4:E9" si="0">A2-$F$2</f>
        <v>-5.5</v>
      </c>
      <c r="F4" s="2">
        <f t="shared" ref="F4:F9" si="1">B2-$I$2</f>
        <v>-26.666666666666664</v>
      </c>
      <c r="G4" s="2">
        <f t="shared" ref="G4:G9" si="2">E4*F4</f>
        <v>146.66666666666666</v>
      </c>
      <c r="H4" s="2">
        <f t="shared" ref="H4:I9" si="3">E4*E4</f>
        <v>30.25</v>
      </c>
      <c r="I4" s="2">
        <f t="shared" si="3"/>
        <v>711.11111111111097</v>
      </c>
    </row>
    <row r="5" spans="1:9">
      <c r="A5" s="2">
        <v>10</v>
      </c>
      <c r="B5" s="2">
        <v>60</v>
      </c>
      <c r="E5" s="2">
        <f t="shared" si="0"/>
        <v>-1.5</v>
      </c>
      <c r="F5" s="2">
        <f t="shared" si="1"/>
        <v>-16.666666666666664</v>
      </c>
      <c r="G5" s="2">
        <f t="shared" si="2"/>
        <v>24.999999999999996</v>
      </c>
      <c r="H5" s="2">
        <f t="shared" si="3"/>
        <v>2.25</v>
      </c>
      <c r="I5" s="2">
        <f t="shared" si="3"/>
        <v>277.77777777777771</v>
      </c>
    </row>
    <row r="6" spans="1:9">
      <c r="A6" s="2">
        <v>13</v>
      </c>
      <c r="B6" s="2">
        <v>100</v>
      </c>
      <c r="E6" s="2">
        <f t="shared" si="0"/>
        <v>-6.5</v>
      </c>
      <c r="F6" s="2">
        <f t="shared" si="1"/>
        <v>-36.666666666666664</v>
      </c>
      <c r="G6" s="2">
        <f t="shared" si="2"/>
        <v>238.33333333333331</v>
      </c>
      <c r="H6" s="2">
        <f t="shared" si="3"/>
        <v>42.25</v>
      </c>
      <c r="I6" s="2">
        <f t="shared" si="3"/>
        <v>1344.4444444444443</v>
      </c>
    </row>
    <row r="7" spans="1:9">
      <c r="A7" s="2">
        <v>16</v>
      </c>
      <c r="B7" s="2">
        <v>90</v>
      </c>
      <c r="E7" s="2">
        <f t="shared" si="0"/>
        <v>1.5</v>
      </c>
      <c r="F7" s="2">
        <f t="shared" si="1"/>
        <v>3.3333333333333357</v>
      </c>
      <c r="G7" s="2">
        <f t="shared" si="2"/>
        <v>5.0000000000000036</v>
      </c>
      <c r="H7" s="2">
        <f t="shared" si="3"/>
        <v>2.25</v>
      </c>
      <c r="I7" s="2">
        <f t="shared" si="3"/>
        <v>11.111111111111127</v>
      </c>
    </row>
    <row r="8" spans="1:9">
      <c r="E8" s="2">
        <f t="shared" si="0"/>
        <v>4.5</v>
      </c>
      <c r="F8" s="2">
        <f t="shared" si="1"/>
        <v>43.333333333333336</v>
      </c>
      <c r="G8" s="2">
        <f t="shared" si="2"/>
        <v>195</v>
      </c>
      <c r="H8" s="2">
        <f t="shared" si="3"/>
        <v>20.25</v>
      </c>
      <c r="I8" s="2">
        <f t="shared" si="3"/>
        <v>1877.7777777777781</v>
      </c>
    </row>
    <row r="9" spans="1:9">
      <c r="E9" s="2">
        <f t="shared" si="0"/>
        <v>7.5</v>
      </c>
      <c r="F9" s="2">
        <f t="shared" si="1"/>
        <v>33.333333333333336</v>
      </c>
      <c r="G9" s="2">
        <f t="shared" si="2"/>
        <v>250.00000000000003</v>
      </c>
      <c r="H9" s="2">
        <f t="shared" si="3"/>
        <v>56.25</v>
      </c>
      <c r="I9" s="2">
        <f t="shared" si="3"/>
        <v>1111.1111111111113</v>
      </c>
    </row>
    <row r="11" spans="1:9" ht="63.9" customHeight="1">
      <c r="A11" s="8" t="s">
        <v>3499</v>
      </c>
      <c r="B11" s="47">
        <f>SUM(G4:G9)/SQRT(SUM(H4:H9)*SUM(I4:I9))</f>
        <v>0.95048418999988593</v>
      </c>
    </row>
    <row r="12" spans="1:9" ht="63.9" customHeight="1">
      <c r="A12" s="8" t="s">
        <v>3500</v>
      </c>
      <c r="B12" s="47">
        <f>CORREL(A2:A7,B2:B7)</f>
        <v>0.95048418999988593</v>
      </c>
    </row>
  </sheetData>
  <mergeCells count="1">
    <mergeCell ref="E1:I1"/>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53E5-6913-4E61-BAF5-D3B290D91FC5}">
  <sheetPr codeName="Sheet383"/>
  <dimension ref="A1:D11"/>
  <sheetViews>
    <sheetView workbookViewId="0">
      <selection activeCell="D19" sqref="D19"/>
    </sheetView>
  </sheetViews>
  <sheetFormatPr defaultRowHeight="14.4"/>
  <cols>
    <col min="4" max="4" width="42.6640625" bestFit="1" customWidth="1"/>
  </cols>
  <sheetData>
    <row r="1" spans="1:4">
      <c r="A1" s="1" t="s">
        <v>3511</v>
      </c>
      <c r="B1" s="1" t="s">
        <v>3512</v>
      </c>
      <c r="D1" s="1" t="s">
        <v>3513</v>
      </c>
    </row>
    <row r="2" spans="1:4">
      <c r="A2" s="2">
        <v>10</v>
      </c>
      <c r="B2" s="2">
        <v>300</v>
      </c>
      <c r="D2" s="7">
        <f>CORREL(A2:A11,B2:B11)</f>
        <v>0</v>
      </c>
    </row>
    <row r="3" spans="1:4">
      <c r="A3" s="2">
        <v>30</v>
      </c>
      <c r="B3" s="2">
        <v>100</v>
      </c>
    </row>
    <row r="4" spans="1:4">
      <c r="A4" s="2">
        <v>20</v>
      </c>
      <c r="B4" s="2">
        <v>100</v>
      </c>
    </row>
    <row r="5" spans="1:4">
      <c r="A5" s="2">
        <v>40</v>
      </c>
      <c r="B5" s="2">
        <v>400</v>
      </c>
    </row>
    <row r="6" spans="1:4">
      <c r="A6" s="2">
        <v>50</v>
      </c>
      <c r="B6" s="2">
        <v>200</v>
      </c>
    </row>
    <row r="7" spans="1:4">
      <c r="A7" s="2">
        <v>60</v>
      </c>
      <c r="B7" s="2">
        <v>600</v>
      </c>
    </row>
    <row r="8" spans="1:4">
      <c r="A8" s="2">
        <v>90</v>
      </c>
      <c r="B8" s="2">
        <v>100</v>
      </c>
    </row>
    <row r="9" spans="1:4">
      <c r="A9" s="2">
        <v>80</v>
      </c>
      <c r="B9" s="2">
        <v>200</v>
      </c>
    </row>
    <row r="10" spans="1:4">
      <c r="A10" s="2">
        <v>100</v>
      </c>
      <c r="B10" s="2">
        <v>0</v>
      </c>
    </row>
    <row r="11" spans="1:4">
      <c r="A11" s="2">
        <v>70</v>
      </c>
      <c r="B11" s="2">
        <v>1000</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7959-7683-4C29-ADE2-C1011AF60748}">
  <sheetPr codeName="Sheet384"/>
  <dimension ref="A1:E11"/>
  <sheetViews>
    <sheetView workbookViewId="0">
      <selection activeCell="D19" sqref="D19"/>
    </sheetView>
  </sheetViews>
  <sheetFormatPr defaultRowHeight="14.4"/>
  <cols>
    <col min="1" max="1" width="5.5546875" bestFit="1" customWidth="1"/>
    <col min="2" max="2" width="15.6640625" customWidth="1"/>
    <col min="3" max="3" width="21.6640625" bestFit="1" customWidth="1"/>
    <col min="5" max="5" width="20.44140625" bestFit="1" customWidth="1"/>
  </cols>
  <sheetData>
    <row r="1" spans="1:5">
      <c r="A1" s="1" t="s">
        <v>856</v>
      </c>
      <c r="B1" s="1" t="s">
        <v>3514</v>
      </c>
      <c r="C1" s="1" t="s">
        <v>3515</v>
      </c>
      <c r="E1" s="58" t="s">
        <v>3516</v>
      </c>
    </row>
    <row r="2" spans="1:5">
      <c r="A2" s="2">
        <v>1</v>
      </c>
      <c r="B2" s="15">
        <v>1.0999999999999999E-2</v>
      </c>
      <c r="C2" s="15"/>
      <c r="E2" s="7" t="e">
        <f>CORREL(B2:B11,C2:C11)</f>
        <v>#DIV/0!</v>
      </c>
    </row>
    <row r="3" spans="1:5">
      <c r="A3" s="2">
        <v>2</v>
      </c>
      <c r="B3" s="15">
        <v>-2.5399999999999999E-2</v>
      </c>
      <c r="C3" s="15"/>
    </row>
    <row r="4" spans="1:5">
      <c r="A4" s="2">
        <v>3</v>
      </c>
      <c r="B4" s="15">
        <v>2.3E-2</v>
      </c>
      <c r="C4" s="15"/>
    </row>
    <row r="5" spans="1:5">
      <c r="A5" s="2">
        <v>4</v>
      </c>
      <c r="B5" s="15">
        <v>-3.8999999999999998E-3</v>
      </c>
      <c r="C5" s="15"/>
    </row>
    <row r="6" spans="1:5">
      <c r="A6" s="2">
        <v>5</v>
      </c>
      <c r="B6" s="15">
        <v>8.8000000000000005E-3</v>
      </c>
      <c r="C6" s="15"/>
    </row>
    <row r="7" spans="1:5">
      <c r="A7" s="2">
        <v>6</v>
      </c>
      <c r="B7" s="15">
        <v>5.2200000000000003E-2</v>
      </c>
      <c r="C7" s="15"/>
    </row>
    <row r="8" spans="1:5">
      <c r="A8" s="2">
        <v>7</v>
      </c>
      <c r="B8" s="15">
        <v>3.1E-2</v>
      </c>
      <c r="C8" s="15"/>
    </row>
    <row r="9" spans="1:5">
      <c r="A9" s="2">
        <v>8</v>
      </c>
      <c r="B9" s="15">
        <v>-1.44E-2</v>
      </c>
      <c r="C9" s="15"/>
    </row>
    <row r="10" spans="1:5">
      <c r="A10" s="2">
        <v>9</v>
      </c>
      <c r="B10" s="15">
        <v>1.95E-2</v>
      </c>
      <c r="C10" s="15"/>
    </row>
    <row r="11" spans="1:5">
      <c r="A11" s="2">
        <v>10</v>
      </c>
      <c r="B11" s="15">
        <v>2.7099999999999999E-2</v>
      </c>
      <c r="C11" s="15"/>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805B-452A-48A5-B918-3AA8D146EA62}">
  <sheetPr codeName="Sheet385"/>
  <dimension ref="A1:B12"/>
  <sheetViews>
    <sheetView workbookViewId="0"/>
  </sheetViews>
  <sheetFormatPr defaultRowHeight="14.4"/>
  <cols>
    <col min="1" max="1" width="22.5546875" bestFit="1" customWidth="1"/>
    <col min="2" max="2" width="22" bestFit="1" customWidth="1"/>
  </cols>
  <sheetData>
    <row r="1" spans="1:2">
      <c r="A1" s="1" t="s">
        <v>3517</v>
      </c>
      <c r="B1" s="1" t="s">
        <v>3518</v>
      </c>
    </row>
    <row r="2" spans="1:2">
      <c r="A2" s="2">
        <v>10</v>
      </c>
      <c r="B2" s="2">
        <v>80</v>
      </c>
    </row>
    <row r="3" spans="1:2">
      <c r="A3" s="2">
        <v>12</v>
      </c>
      <c r="B3" s="2">
        <v>85</v>
      </c>
    </row>
    <row r="4" spans="1:2">
      <c r="A4" s="2">
        <v>5</v>
      </c>
      <c r="B4" s="2">
        <v>82</v>
      </c>
    </row>
    <row r="5" spans="1:2">
      <c r="A5" s="2">
        <v>6</v>
      </c>
      <c r="B5" s="2">
        <v>70</v>
      </c>
    </row>
    <row r="6" spans="1:2">
      <c r="A6" s="2">
        <v>9</v>
      </c>
      <c r="B6" s="2">
        <v>88</v>
      </c>
    </row>
    <row r="7" spans="1:2">
      <c r="A7" s="2">
        <v>14</v>
      </c>
      <c r="B7" s="2">
        <v>95</v>
      </c>
    </row>
    <row r="8" spans="1:2">
      <c r="A8" s="2">
        <v>11</v>
      </c>
      <c r="B8" s="2">
        <v>90</v>
      </c>
    </row>
    <row r="9" spans="1:2">
      <c r="A9" s="2">
        <v>2</v>
      </c>
      <c r="B9" s="2">
        <v>45</v>
      </c>
    </row>
    <row r="10" spans="1:2">
      <c r="A10" s="2">
        <v>15</v>
      </c>
      <c r="B10" s="2">
        <v>99</v>
      </c>
    </row>
    <row r="12" spans="1:2">
      <c r="A12" s="1" t="s">
        <v>3516</v>
      </c>
      <c r="B12" s="7">
        <v>0.87607167882067893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ACE9-15DB-4ED6-80B3-0C29519AA011}">
  <sheetPr codeName="Sheet386"/>
  <dimension ref="A1:C11"/>
  <sheetViews>
    <sheetView workbookViewId="0"/>
  </sheetViews>
  <sheetFormatPr defaultRowHeight="14.4"/>
  <cols>
    <col min="1" max="1" width="15" bestFit="1" customWidth="1"/>
    <col min="2" max="2" width="16.44140625" customWidth="1"/>
    <col min="3" max="3" width="46.88671875" bestFit="1" customWidth="1"/>
  </cols>
  <sheetData>
    <row r="1" spans="1:3">
      <c r="A1" s="1" t="s">
        <v>1312</v>
      </c>
      <c r="B1" s="1" t="s">
        <v>3519</v>
      </c>
      <c r="C1" s="1" t="s">
        <v>1145</v>
      </c>
    </row>
    <row r="2" spans="1:3">
      <c r="A2" s="2">
        <v>94</v>
      </c>
      <c r="B2" s="7" t="b">
        <f>IF(A2=100,"Full Marks",FALSE())</f>
        <v>0</v>
      </c>
      <c r="C2" s="55" t="s">
        <v>3520</v>
      </c>
    </row>
    <row r="3" spans="1:3">
      <c r="A3" s="2">
        <v>100</v>
      </c>
      <c r="B3" s="7" t="str">
        <f t="shared" ref="B3:B11" si="0">IF(A3=100,"Full Marks",FALSE())</f>
        <v>Full Marks</v>
      </c>
      <c r="C3" s="55" t="s">
        <v>3521</v>
      </c>
    </row>
    <row r="4" spans="1:3">
      <c r="A4" s="2">
        <v>90</v>
      </c>
      <c r="B4" s="7" t="b">
        <f t="shared" si="0"/>
        <v>0</v>
      </c>
      <c r="C4" s="55" t="s">
        <v>3522</v>
      </c>
    </row>
    <row r="5" spans="1:3">
      <c r="A5" s="2">
        <v>83</v>
      </c>
      <c r="B5" s="7" t="b">
        <f t="shared" si="0"/>
        <v>0</v>
      </c>
      <c r="C5" s="55" t="s">
        <v>3523</v>
      </c>
    </row>
    <row r="6" spans="1:3">
      <c r="A6" s="2">
        <v>100</v>
      </c>
      <c r="B6" s="7" t="str">
        <f t="shared" si="0"/>
        <v>Full Marks</v>
      </c>
      <c r="C6" s="55" t="s">
        <v>3524</v>
      </c>
    </row>
    <row r="7" spans="1:3">
      <c r="A7" s="2">
        <v>100</v>
      </c>
      <c r="B7" s="7" t="str">
        <f t="shared" si="0"/>
        <v>Full Marks</v>
      </c>
      <c r="C7" s="55" t="s">
        <v>3525</v>
      </c>
    </row>
    <row r="8" spans="1:3">
      <c r="A8" s="2">
        <v>54</v>
      </c>
      <c r="B8" s="7" t="b">
        <f t="shared" si="0"/>
        <v>0</v>
      </c>
      <c r="C8" s="55" t="s">
        <v>3526</v>
      </c>
    </row>
    <row r="9" spans="1:3">
      <c r="A9" s="2">
        <v>93</v>
      </c>
      <c r="B9" s="7" t="b">
        <f t="shared" si="0"/>
        <v>0</v>
      </c>
      <c r="C9" s="55" t="s">
        <v>3527</v>
      </c>
    </row>
    <row r="10" spans="1:3">
      <c r="A10" s="2">
        <v>100</v>
      </c>
      <c r="B10" s="7" t="str">
        <f t="shared" si="0"/>
        <v>Full Marks</v>
      </c>
      <c r="C10" s="55" t="s">
        <v>3528</v>
      </c>
    </row>
    <row r="11" spans="1:3">
      <c r="A11" s="2">
        <v>85</v>
      </c>
      <c r="B11" s="7" t="b">
        <f t="shared" si="0"/>
        <v>0</v>
      </c>
      <c r="C11" s="55" t="s">
        <v>3529</v>
      </c>
    </row>
  </sheetData>
  <pageMargins left="0.7" right="0.7" top="0.75" bottom="0.75" header="0.3" footer="0.3"/>
  <pageSetup orientation="portrait" horizontalDpi="4294967293" verticalDpi="0"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37D9-7CD7-4CF6-8E0E-50E98B9461E6}">
  <sheetPr codeName="Sheet387"/>
  <dimension ref="A1:B3"/>
  <sheetViews>
    <sheetView workbookViewId="0"/>
  </sheetViews>
  <sheetFormatPr defaultRowHeight="14.4"/>
  <cols>
    <col min="1" max="1" width="24.88671875" bestFit="1" customWidth="1"/>
  </cols>
  <sheetData>
    <row r="1" spans="1:2">
      <c r="A1" s="1" t="s">
        <v>3530</v>
      </c>
      <c r="B1" s="1" t="s">
        <v>1384</v>
      </c>
    </row>
    <row r="2" spans="1:2">
      <c r="A2" s="2" t="s">
        <v>3531</v>
      </c>
      <c r="B2" s="7" t="b">
        <f>FALSE()</f>
        <v>0</v>
      </c>
    </row>
    <row r="3" spans="1:2">
      <c r="A3" s="2" t="s">
        <v>3532</v>
      </c>
      <c r="B3" s="7" t="b">
        <f>IF(SQRT(725)=25,"TRUE",FALSE())</f>
        <v>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BBB4-05FC-4E86-BA6A-42F7693274E9}">
  <sheetPr codeName="Sheet388"/>
  <dimension ref="A1:E11"/>
  <sheetViews>
    <sheetView workbookViewId="0"/>
  </sheetViews>
  <sheetFormatPr defaultRowHeight="14.4"/>
  <cols>
    <col min="1" max="1" width="28.44140625" customWidth="1"/>
    <col min="2" max="2" width="13.33203125" bestFit="1" customWidth="1"/>
    <col min="3" max="3" width="12.5546875" bestFit="1" customWidth="1"/>
    <col min="4" max="4" width="13" bestFit="1" customWidth="1"/>
    <col min="5" max="5" width="23.88671875" bestFit="1" customWidth="1"/>
  </cols>
  <sheetData>
    <row r="1" spans="1:5">
      <c r="A1" s="1" t="s">
        <v>3472</v>
      </c>
      <c r="B1" s="1" t="s">
        <v>3342</v>
      </c>
      <c r="C1" s="1" t="s">
        <v>1457</v>
      </c>
      <c r="D1" s="1" t="s">
        <v>3544</v>
      </c>
      <c r="E1" s="1" t="s">
        <v>3543</v>
      </c>
    </row>
    <row r="2" spans="1:5">
      <c r="A2" s="2" t="s">
        <v>3533</v>
      </c>
      <c r="B2" s="2">
        <v>100</v>
      </c>
      <c r="C2" s="2">
        <v>130</v>
      </c>
      <c r="D2" s="2" t="s">
        <v>286</v>
      </c>
      <c r="E2" s="7" t="b">
        <f>IF(AND(B2&lt;C2,D2="Yes"),TRUE,FALSE())</f>
        <v>1</v>
      </c>
    </row>
    <row r="3" spans="1:5">
      <c r="A3" s="229" t="s">
        <v>3534</v>
      </c>
      <c r="B3" s="2">
        <v>200</v>
      </c>
      <c r="C3" s="2">
        <v>190</v>
      </c>
      <c r="D3" s="2" t="s">
        <v>286</v>
      </c>
      <c r="E3" s="7" t="b">
        <f t="shared" ref="E3:E11" si="0">IF(AND(B3&lt;C3,D3="Yes"),TRUE,FALSE())</f>
        <v>0</v>
      </c>
    </row>
    <row r="4" spans="1:5">
      <c r="A4" s="2" t="s">
        <v>3535</v>
      </c>
      <c r="B4" s="2">
        <v>150</v>
      </c>
      <c r="C4" s="2">
        <v>100</v>
      </c>
      <c r="D4" s="2" t="s">
        <v>287</v>
      </c>
      <c r="E4" s="7" t="b">
        <f t="shared" si="0"/>
        <v>0</v>
      </c>
    </row>
    <row r="5" spans="1:5">
      <c r="A5" s="2" t="s">
        <v>3536</v>
      </c>
      <c r="B5" s="2">
        <v>210</v>
      </c>
      <c r="C5" s="2">
        <v>230</v>
      </c>
      <c r="D5" s="2" t="s">
        <v>287</v>
      </c>
      <c r="E5" s="7" t="b">
        <f t="shared" si="0"/>
        <v>0</v>
      </c>
    </row>
    <row r="6" spans="1:5">
      <c r="A6" s="2" t="s">
        <v>3537</v>
      </c>
      <c r="B6" s="2">
        <v>250</v>
      </c>
      <c r="C6" s="2">
        <v>280</v>
      </c>
      <c r="D6" s="2" t="s">
        <v>286</v>
      </c>
      <c r="E6" s="7" t="b">
        <f t="shared" si="0"/>
        <v>1</v>
      </c>
    </row>
    <row r="7" spans="1:5">
      <c r="A7" s="2" t="s">
        <v>3538</v>
      </c>
      <c r="B7" s="2">
        <v>255</v>
      </c>
      <c r="C7" s="2">
        <v>200</v>
      </c>
      <c r="D7" s="2" t="s">
        <v>286</v>
      </c>
      <c r="E7" s="7" t="b">
        <f t="shared" si="0"/>
        <v>0</v>
      </c>
    </row>
    <row r="8" spans="1:5">
      <c r="A8" s="2" t="s">
        <v>3539</v>
      </c>
      <c r="B8" s="2">
        <v>180</v>
      </c>
      <c r="C8" s="2">
        <v>150</v>
      </c>
      <c r="D8" s="2" t="s">
        <v>286</v>
      </c>
      <c r="E8" s="7" t="b">
        <f t="shared" si="0"/>
        <v>0</v>
      </c>
    </row>
    <row r="9" spans="1:5">
      <c r="A9" s="2" t="s">
        <v>3540</v>
      </c>
      <c r="B9" s="2">
        <v>240</v>
      </c>
      <c r="C9" s="2">
        <v>260</v>
      </c>
      <c r="D9" s="2" t="s">
        <v>287</v>
      </c>
      <c r="E9" s="7" t="b">
        <f t="shared" si="0"/>
        <v>0</v>
      </c>
    </row>
    <row r="10" spans="1:5">
      <c r="A10" s="2" t="s">
        <v>3541</v>
      </c>
      <c r="B10" s="2">
        <v>170</v>
      </c>
      <c r="C10" s="2">
        <v>90</v>
      </c>
      <c r="D10" s="2" t="s">
        <v>287</v>
      </c>
      <c r="E10" s="7" t="b">
        <f t="shared" si="0"/>
        <v>0</v>
      </c>
    </row>
    <row r="11" spans="1:5">
      <c r="A11" s="2" t="s">
        <v>3542</v>
      </c>
      <c r="B11" s="2">
        <v>120</v>
      </c>
      <c r="C11" s="2">
        <v>100</v>
      </c>
      <c r="D11" s="2" t="s">
        <v>286</v>
      </c>
      <c r="E11" s="7" t="b">
        <f t="shared" si="0"/>
        <v>0</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B40A-EDF2-4EF1-B1F3-9E77E086030D}">
  <sheetPr codeName="Sheet389"/>
  <dimension ref="A1:C13"/>
  <sheetViews>
    <sheetView workbookViewId="0"/>
  </sheetViews>
  <sheetFormatPr defaultRowHeight="14.4"/>
  <cols>
    <col min="1" max="1" width="23.88671875" bestFit="1" customWidth="1"/>
    <col min="2" max="2" width="14.109375" bestFit="1" customWidth="1"/>
    <col min="3" max="3" width="32.6640625" bestFit="1" customWidth="1"/>
  </cols>
  <sheetData>
    <row r="1" spans="1:3">
      <c r="A1" s="1" t="s">
        <v>1318</v>
      </c>
      <c r="B1" s="1" t="s">
        <v>3545</v>
      </c>
      <c r="C1" s="1" t="s">
        <v>3546</v>
      </c>
    </row>
    <row r="2" spans="1:3">
      <c r="A2" s="2" t="s">
        <v>347</v>
      </c>
      <c r="B2" s="2" t="s">
        <v>1325</v>
      </c>
      <c r="C2" s="2" t="b">
        <v>1</v>
      </c>
    </row>
    <row r="3" spans="1:3">
      <c r="A3" s="2" t="s">
        <v>1326</v>
      </c>
      <c r="B3" s="2" t="s">
        <v>1332</v>
      </c>
      <c r="C3" s="2" t="b">
        <v>0</v>
      </c>
    </row>
    <row r="4" spans="1:3">
      <c r="A4" s="2" t="s">
        <v>1330</v>
      </c>
      <c r="B4" s="2" t="s">
        <v>1324</v>
      </c>
      <c r="C4" s="2" t="b">
        <v>0</v>
      </c>
    </row>
    <row r="5" spans="1:3">
      <c r="A5" s="2" t="s">
        <v>1319</v>
      </c>
      <c r="B5" s="2" t="s">
        <v>1320</v>
      </c>
      <c r="C5" s="2" t="b">
        <v>1</v>
      </c>
    </row>
    <row r="6" spans="1:3">
      <c r="A6" s="2" t="s">
        <v>1321</v>
      </c>
      <c r="B6" s="2" t="s">
        <v>3548</v>
      </c>
      <c r="C6" s="2" t="b">
        <v>0</v>
      </c>
    </row>
    <row r="7" spans="1:3">
      <c r="A7" s="2" t="s">
        <v>351</v>
      </c>
      <c r="B7" s="2" t="s">
        <v>1335</v>
      </c>
      <c r="C7" s="2" t="b">
        <v>0</v>
      </c>
    </row>
    <row r="8" spans="1:3">
      <c r="A8" s="2" t="s">
        <v>1328</v>
      </c>
      <c r="B8" s="14" t="s">
        <v>1322</v>
      </c>
      <c r="C8" s="2" t="b">
        <v>0</v>
      </c>
    </row>
    <row r="9" spans="1:3">
      <c r="A9" s="2" t="s">
        <v>2014</v>
      </c>
      <c r="B9" s="2" t="s">
        <v>3549</v>
      </c>
      <c r="C9" s="2" t="b">
        <v>1</v>
      </c>
    </row>
    <row r="10" spans="1:3">
      <c r="A10" s="2" t="s">
        <v>3550</v>
      </c>
      <c r="B10" s="2" t="s">
        <v>3551</v>
      </c>
      <c r="C10" s="2" t="b">
        <v>0</v>
      </c>
    </row>
    <row r="13" spans="1:3">
      <c r="A13" s="1" t="s">
        <v>3547</v>
      </c>
      <c r="B13" s="7">
        <f>COUNTIF(C2:C10,FALSE())</f>
        <v>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994A-C7CB-468D-A3D8-4B592444BF1D}">
  <sheetPr codeName="Sheet390"/>
  <dimension ref="A1:C13"/>
  <sheetViews>
    <sheetView workbookViewId="0"/>
  </sheetViews>
  <sheetFormatPr defaultRowHeight="14.4"/>
  <cols>
    <col min="1" max="1" width="15.44140625" customWidth="1"/>
    <col min="2" max="2" width="9.88671875" bestFit="1" customWidth="1"/>
    <col min="3" max="3" width="8.109375" bestFit="1" customWidth="1"/>
  </cols>
  <sheetData>
    <row r="1" spans="1:3">
      <c r="A1" s="1" t="s">
        <v>354</v>
      </c>
      <c r="B1" s="1" t="s">
        <v>3394</v>
      </c>
      <c r="C1" s="1" t="s">
        <v>357</v>
      </c>
    </row>
    <row r="2" spans="1:3">
      <c r="A2" s="2" t="s">
        <v>340</v>
      </c>
      <c r="B2" s="2" t="b">
        <v>1</v>
      </c>
      <c r="C2" s="2">
        <v>1000</v>
      </c>
    </row>
    <row r="3" spans="1:3">
      <c r="A3" s="2" t="s">
        <v>342</v>
      </c>
      <c r="B3" s="2" t="b">
        <v>0</v>
      </c>
      <c r="C3" s="2">
        <v>2400</v>
      </c>
    </row>
    <row r="4" spans="1:3">
      <c r="A4" s="2" t="s">
        <v>343</v>
      </c>
      <c r="B4" s="2" t="b">
        <v>1</v>
      </c>
      <c r="C4" s="2">
        <v>1400</v>
      </c>
    </row>
    <row r="5" spans="1:3">
      <c r="A5" s="2" t="s">
        <v>340</v>
      </c>
      <c r="B5" s="2" t="b">
        <v>0</v>
      </c>
      <c r="C5" s="2">
        <v>1500</v>
      </c>
    </row>
    <row r="6" spans="1:3">
      <c r="A6" s="2" t="s">
        <v>346</v>
      </c>
      <c r="B6" s="2" t="b">
        <v>0</v>
      </c>
      <c r="C6" s="2">
        <v>2300</v>
      </c>
    </row>
    <row r="7" spans="1:3">
      <c r="A7" s="2" t="s">
        <v>342</v>
      </c>
      <c r="B7" s="2" t="b">
        <v>0</v>
      </c>
      <c r="C7" s="2">
        <v>1900</v>
      </c>
    </row>
    <row r="8" spans="1:3">
      <c r="A8" s="2" t="s">
        <v>343</v>
      </c>
      <c r="B8" s="2" t="b">
        <v>1</v>
      </c>
      <c r="C8" s="2">
        <v>1500</v>
      </c>
    </row>
    <row r="9" spans="1:3">
      <c r="A9" s="2" t="s">
        <v>346</v>
      </c>
      <c r="B9" s="2" t="b">
        <v>1</v>
      </c>
      <c r="C9" s="2">
        <v>2000</v>
      </c>
    </row>
    <row r="10" spans="1:3">
      <c r="A10" s="2" t="s">
        <v>345</v>
      </c>
      <c r="B10" s="2" t="b">
        <v>1</v>
      </c>
      <c r="C10" s="2">
        <v>2100</v>
      </c>
    </row>
    <row r="11" spans="1:3">
      <c r="A11" s="2" t="s">
        <v>345</v>
      </c>
      <c r="B11" s="2" t="b">
        <v>0</v>
      </c>
      <c r="C11" s="2">
        <v>1700</v>
      </c>
    </row>
    <row r="13" spans="1:3" ht="43.2">
      <c r="A13" s="8" t="s">
        <v>3555</v>
      </c>
      <c r="B13" s="47">
        <f>SUMIF(B2:B11,FALSE(),C2:C11)</f>
        <v>9800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7F9E-E8BE-4389-ABE1-5FE7A709A12A}">
  <sheetPr codeName="Sheet391"/>
  <dimension ref="A1:C7"/>
  <sheetViews>
    <sheetView workbookViewId="0"/>
  </sheetViews>
  <sheetFormatPr defaultRowHeight="14.4"/>
  <cols>
    <col min="1" max="1" width="13.109375" bestFit="1" customWidth="1"/>
    <col min="2" max="2" width="9.88671875" bestFit="1" customWidth="1"/>
    <col min="3" max="3" width="15.6640625" bestFit="1" customWidth="1"/>
  </cols>
  <sheetData>
    <row r="1" spans="1:3">
      <c r="A1" s="1" t="s">
        <v>3042</v>
      </c>
      <c r="B1" s="1" t="s">
        <v>3491</v>
      </c>
      <c r="C1" s="1" t="s">
        <v>80</v>
      </c>
    </row>
    <row r="2" spans="1:3">
      <c r="A2" s="2">
        <v>540</v>
      </c>
      <c r="B2" s="2">
        <v>20</v>
      </c>
      <c r="C2" s="7">
        <f t="shared" ref="C2:C7" si="0">IFERROR(A2/B2,FALSE())</f>
        <v>27</v>
      </c>
    </row>
    <row r="3" spans="1:3">
      <c r="A3" s="2">
        <v>1200</v>
      </c>
      <c r="B3" s="2">
        <v>5</v>
      </c>
      <c r="C3" s="7">
        <f t="shared" si="0"/>
        <v>240</v>
      </c>
    </row>
    <row r="4" spans="1:3">
      <c r="A4" s="2">
        <v>0</v>
      </c>
      <c r="B4" s="2">
        <v>0</v>
      </c>
      <c r="C4" s="7" t="b">
        <f t="shared" si="0"/>
        <v>0</v>
      </c>
    </row>
    <row r="5" spans="1:3">
      <c r="A5" s="2">
        <v>10000</v>
      </c>
      <c r="B5" s="2">
        <v>0</v>
      </c>
      <c r="C5" s="7" t="b">
        <f t="shared" si="0"/>
        <v>0</v>
      </c>
    </row>
    <row r="6" spans="1:3">
      <c r="A6" s="2">
        <v>5000</v>
      </c>
      <c r="B6" s="55"/>
      <c r="C6" s="7" t="b">
        <f t="shared" si="0"/>
        <v>0</v>
      </c>
    </row>
    <row r="7" spans="1:3">
      <c r="A7" s="2"/>
      <c r="B7" s="2">
        <v>12</v>
      </c>
      <c r="C7" s="7">
        <f t="shared" si="0"/>
        <v>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75B-8125-4A45-8D7D-1B1ED26FD2E2}">
  <sheetPr codeName="Sheet392"/>
  <dimension ref="A1:D5"/>
  <sheetViews>
    <sheetView workbookViewId="0"/>
  </sheetViews>
  <sheetFormatPr defaultRowHeight="14.4"/>
  <cols>
    <col min="1" max="1" width="7" bestFit="1" customWidth="1"/>
    <col min="2" max="2" width="7.6640625" bestFit="1" customWidth="1"/>
    <col min="3" max="3" width="18.88671875" bestFit="1" customWidth="1"/>
    <col min="4" max="4" width="7.88671875" bestFit="1" customWidth="1"/>
  </cols>
  <sheetData>
    <row r="1" spans="1:4">
      <c r="A1" s="1" t="s">
        <v>9</v>
      </c>
      <c r="B1" s="1" t="s">
        <v>3552</v>
      </c>
      <c r="C1" s="1" t="s">
        <v>3553</v>
      </c>
      <c r="D1" s="1" t="s">
        <v>1384</v>
      </c>
    </row>
    <row r="2" spans="1:4">
      <c r="A2" s="2">
        <v>10</v>
      </c>
      <c r="B2" s="365" t="s">
        <v>3554</v>
      </c>
      <c r="C2" s="2" t="s">
        <v>2185</v>
      </c>
      <c r="D2" s="7">
        <f>A2+FALSE()</f>
        <v>10</v>
      </c>
    </row>
    <row r="3" spans="1:4">
      <c r="A3" s="2">
        <v>20</v>
      </c>
      <c r="B3" s="366"/>
      <c r="C3" s="2" t="s">
        <v>2184</v>
      </c>
      <c r="D3" s="7">
        <f>A3-FALSE()</f>
        <v>20</v>
      </c>
    </row>
    <row r="4" spans="1:4">
      <c r="A4" s="2">
        <v>30</v>
      </c>
      <c r="B4" s="366"/>
      <c r="C4" s="2" t="s">
        <v>2187</v>
      </c>
      <c r="D4" s="7">
        <f>A4*FALSE()</f>
        <v>0</v>
      </c>
    </row>
    <row r="5" spans="1:4">
      <c r="A5" s="2">
        <v>40</v>
      </c>
      <c r="B5" s="367"/>
      <c r="C5" s="2" t="s">
        <v>2183</v>
      </c>
      <c r="D5" s="7" t="e">
        <f>A5/FALSE()</f>
        <v>#DIV/0!</v>
      </c>
    </row>
  </sheetData>
  <mergeCells count="1">
    <mergeCell ref="B2:B5"/>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D797-CB79-435D-9156-2B3CDD013C74}">
  <sheetPr codeName="Sheet393"/>
  <dimension ref="A1:C11"/>
  <sheetViews>
    <sheetView workbookViewId="0">
      <selection activeCell="G17" sqref="G17"/>
    </sheetView>
  </sheetViews>
  <sheetFormatPr defaultRowHeight="14.4"/>
  <cols>
    <col min="1" max="1" width="16.33203125" bestFit="1" customWidth="1"/>
    <col min="2" max="2" width="19.33203125" bestFit="1" customWidth="1"/>
    <col min="3" max="3" width="39.88671875" bestFit="1" customWidth="1"/>
  </cols>
  <sheetData>
    <row r="1" spans="1:3">
      <c r="A1" s="1" t="s">
        <v>3558</v>
      </c>
      <c r="B1" s="1" t="s">
        <v>3559</v>
      </c>
      <c r="C1" s="1" t="s">
        <v>1145</v>
      </c>
    </row>
    <row r="2" spans="1:3">
      <c r="A2" s="3" t="s">
        <v>3560</v>
      </c>
      <c r="B2" s="7">
        <f ca="1">RANDBETWEEN(100,200)</f>
        <v>108</v>
      </c>
      <c r="C2" s="55" t="s">
        <v>3570</v>
      </c>
    </row>
    <row r="3" spans="1:3">
      <c r="A3" s="3" t="s">
        <v>3561</v>
      </c>
      <c r="B3" s="7">
        <f t="shared" ref="B3:B11" ca="1" si="0">RANDBETWEEN(100,200)</f>
        <v>138</v>
      </c>
      <c r="C3" s="55" t="s">
        <v>3571</v>
      </c>
    </row>
    <row r="4" spans="1:3">
      <c r="A4" s="3" t="s">
        <v>3562</v>
      </c>
      <c r="B4" s="7">
        <f t="shared" ca="1" si="0"/>
        <v>191</v>
      </c>
      <c r="C4" s="55" t="s">
        <v>3572</v>
      </c>
    </row>
    <row r="5" spans="1:3">
      <c r="A5" s="3" t="s">
        <v>3563</v>
      </c>
      <c r="B5" s="7">
        <f t="shared" ca="1" si="0"/>
        <v>197</v>
      </c>
      <c r="C5" s="55" t="s">
        <v>3573</v>
      </c>
    </row>
    <row r="6" spans="1:3">
      <c r="A6" s="3" t="s">
        <v>3564</v>
      </c>
      <c r="B6" s="7">
        <f t="shared" ca="1" si="0"/>
        <v>142</v>
      </c>
      <c r="C6" s="55" t="s">
        <v>3574</v>
      </c>
    </row>
    <row r="7" spans="1:3">
      <c r="A7" s="3" t="s">
        <v>3565</v>
      </c>
      <c r="B7" s="7">
        <f t="shared" ca="1" si="0"/>
        <v>176</v>
      </c>
      <c r="C7" s="55" t="s">
        <v>3575</v>
      </c>
    </row>
    <row r="8" spans="1:3">
      <c r="A8" s="3" t="s">
        <v>3566</v>
      </c>
      <c r="B8" s="7">
        <f t="shared" ca="1" si="0"/>
        <v>159</v>
      </c>
      <c r="C8" s="55" t="s">
        <v>3576</v>
      </c>
    </row>
    <row r="9" spans="1:3">
      <c r="A9" s="3" t="s">
        <v>3567</v>
      </c>
      <c r="B9" s="7">
        <f t="shared" ca="1" si="0"/>
        <v>133</v>
      </c>
      <c r="C9" s="55" t="s">
        <v>3577</v>
      </c>
    </row>
    <row r="10" spans="1:3">
      <c r="A10" s="3" t="s">
        <v>3568</v>
      </c>
      <c r="B10" s="7">
        <f t="shared" ca="1" si="0"/>
        <v>182</v>
      </c>
      <c r="C10" s="55" t="s">
        <v>3578</v>
      </c>
    </row>
    <row r="11" spans="1:3">
      <c r="A11" s="3" t="s">
        <v>3569</v>
      </c>
      <c r="B11" s="7">
        <f t="shared" ca="1" si="0"/>
        <v>164</v>
      </c>
      <c r="C11" s="55" t="s">
        <v>3579</v>
      </c>
    </row>
  </sheetData>
  <pageMargins left="0.7" right="0.7" top="0.75" bottom="0.75" header="0.3" footer="0.3"/>
  <pageSetup orientation="portrait" horizontalDpi="4294967293"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658D-C9B1-4A00-BDF5-F77474A5D0FC}">
  <sheetPr codeName="Sheet394"/>
  <dimension ref="A1:C6"/>
  <sheetViews>
    <sheetView workbookViewId="0">
      <selection activeCell="G17" sqref="G17"/>
    </sheetView>
  </sheetViews>
  <sheetFormatPr defaultRowHeight="14.4"/>
  <cols>
    <col min="1" max="1" width="14.5546875" bestFit="1" customWidth="1"/>
    <col min="2" max="2" width="14.5546875" customWidth="1"/>
    <col min="3" max="3" width="26.109375" bestFit="1" customWidth="1"/>
  </cols>
  <sheetData>
    <row r="1" spans="1:3">
      <c r="A1" s="1" t="s">
        <v>3556</v>
      </c>
      <c r="B1" s="1" t="s">
        <v>3557</v>
      </c>
      <c r="C1" s="1" t="s">
        <v>3580</v>
      </c>
    </row>
    <row r="2" spans="1:3">
      <c r="A2" s="2">
        <v>50</v>
      </c>
      <c r="B2" s="2">
        <v>60</v>
      </c>
      <c r="C2" s="7">
        <f ca="1">RANDBETWEEN(A2,B2)</f>
        <v>59</v>
      </c>
    </row>
    <row r="3" spans="1:3">
      <c r="A3" s="2">
        <v>100</v>
      </c>
      <c r="B3" s="2">
        <v>150</v>
      </c>
      <c r="C3" s="7">
        <f ca="1">RANDBETWEEN(A3,B3)</f>
        <v>109</v>
      </c>
    </row>
    <row r="4" spans="1:3">
      <c r="A4" s="2">
        <v>23</v>
      </c>
      <c r="B4" s="2">
        <v>42</v>
      </c>
      <c r="C4" s="7">
        <f ca="1">RANDBETWEEN(A4,B4)</f>
        <v>26</v>
      </c>
    </row>
    <row r="5" spans="1:3">
      <c r="A5" s="2">
        <v>1</v>
      </c>
      <c r="B5" s="2">
        <v>8</v>
      </c>
      <c r="C5" s="7">
        <f ca="1">RANDBETWEEN(A5,B5)</f>
        <v>5</v>
      </c>
    </row>
    <row r="6" spans="1:3">
      <c r="A6" s="2">
        <v>47</v>
      </c>
      <c r="B6" s="2">
        <v>50</v>
      </c>
      <c r="C6" s="7">
        <f ca="1">RANDBETWEEN(A6,B6)</f>
        <v>47</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EAE9-1114-401F-92BE-8B7C6AF9BAC5}">
  <sheetPr codeName="Sheet395"/>
  <dimension ref="A1:B6"/>
  <sheetViews>
    <sheetView workbookViewId="0">
      <selection activeCell="G17" sqref="G17"/>
    </sheetView>
  </sheetViews>
  <sheetFormatPr defaultRowHeight="14.4"/>
  <cols>
    <col min="1" max="2" width="15.88671875" customWidth="1"/>
  </cols>
  <sheetData>
    <row r="1" spans="1:2">
      <c r="A1" s="369" t="s">
        <v>3581</v>
      </c>
      <c r="B1" s="369"/>
    </row>
    <row r="2" spans="1:2">
      <c r="A2" s="7">
        <f t="shared" ref="A2:B6" ca="1" si="0">RANDBETWEEN(250,300)</f>
        <v>281</v>
      </c>
      <c r="B2" s="7">
        <f t="shared" ca="1" si="0"/>
        <v>256</v>
      </c>
    </row>
    <row r="3" spans="1:2">
      <c r="A3" s="7">
        <f t="shared" ca="1" si="0"/>
        <v>276</v>
      </c>
      <c r="B3" s="7">
        <f t="shared" ca="1" si="0"/>
        <v>254</v>
      </c>
    </row>
    <row r="4" spans="1:2">
      <c r="A4" s="7">
        <f t="shared" ca="1" si="0"/>
        <v>279</v>
      </c>
      <c r="B4" s="7">
        <f t="shared" ca="1" si="0"/>
        <v>260</v>
      </c>
    </row>
    <row r="5" spans="1:2">
      <c r="A5" s="7">
        <f t="shared" ca="1" si="0"/>
        <v>287</v>
      </c>
      <c r="B5" s="7">
        <f t="shared" ca="1" si="0"/>
        <v>268</v>
      </c>
    </row>
    <row r="6" spans="1:2">
      <c r="A6" s="7">
        <f t="shared" ca="1" si="0"/>
        <v>289</v>
      </c>
      <c r="B6" s="7">
        <f ca="1">RANDBETWEEN(250,300)</f>
        <v>282</v>
      </c>
    </row>
  </sheetData>
  <mergeCells count="1">
    <mergeCell ref="A1:B1"/>
  </mergeCells>
  <pageMargins left="0.7" right="0.7" top="0.75" bottom="0.75" header="0.3" footer="0.3"/>
  <pageSetup orientation="portrait" horizontalDpi="4294967293" verticalDpi="0"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554-A293-4EE4-8BDD-75455CC6A7D5}">
  <sheetPr codeName="Sheet396"/>
  <dimension ref="A1:D6"/>
  <sheetViews>
    <sheetView workbookViewId="0">
      <selection activeCell="G17" sqref="G17"/>
    </sheetView>
  </sheetViews>
  <sheetFormatPr defaultRowHeight="14.4"/>
  <cols>
    <col min="1" max="1" width="12.44140625" bestFit="1" customWidth="1"/>
    <col min="2" max="2" width="15.88671875" bestFit="1" customWidth="1"/>
    <col min="3" max="3" width="16.5546875" bestFit="1" customWidth="1"/>
    <col min="4" max="4" width="25.88671875" bestFit="1" customWidth="1"/>
  </cols>
  <sheetData>
    <row r="1" spans="1:4">
      <c r="A1" s="1" t="s">
        <v>3583</v>
      </c>
      <c r="B1" s="1" t="s">
        <v>3605</v>
      </c>
      <c r="C1" s="1" t="s">
        <v>3582</v>
      </c>
      <c r="D1" s="1" t="s">
        <v>3606</v>
      </c>
    </row>
    <row r="2" spans="1:4">
      <c r="A2" s="2">
        <v>1</v>
      </c>
      <c r="B2" s="2">
        <v>40</v>
      </c>
      <c r="C2" s="2">
        <v>80</v>
      </c>
      <c r="D2" s="7">
        <f ca="1">RANDBETWEEN(B2*100,C2*100)/100</f>
        <v>55.55</v>
      </c>
    </row>
    <row r="3" spans="1:4">
      <c r="A3" s="2">
        <v>2</v>
      </c>
      <c r="B3" s="2">
        <v>10</v>
      </c>
      <c r="C3" s="2">
        <v>30</v>
      </c>
      <c r="D3" s="7">
        <f ca="1">RANDBETWEEN(B3*100,C3*100)/100</f>
        <v>16.440000000000001</v>
      </c>
    </row>
    <row r="4" spans="1:4">
      <c r="A4" s="2">
        <v>3</v>
      </c>
      <c r="B4" s="2">
        <v>65</v>
      </c>
      <c r="C4" s="2">
        <v>100</v>
      </c>
      <c r="D4" s="7">
        <f ca="1">RANDBETWEEN(B4*100,C4*100)/100</f>
        <v>72.37</v>
      </c>
    </row>
    <row r="5" spans="1:4">
      <c r="A5" s="2">
        <v>4</v>
      </c>
      <c r="B5" s="2">
        <v>25</v>
      </c>
      <c r="C5" s="2">
        <v>50</v>
      </c>
      <c r="D5" s="7">
        <f ca="1">RANDBETWEEN(B5*100,C5*100)/100</f>
        <v>40.770000000000003</v>
      </c>
    </row>
    <row r="6" spans="1:4">
      <c r="A6" s="2">
        <v>5</v>
      </c>
      <c r="B6" s="2">
        <v>250</v>
      </c>
      <c r="C6" s="2">
        <v>500</v>
      </c>
      <c r="D6" s="7">
        <f ca="1">RANDBETWEEN(B6*100,C6*100)/100</f>
        <v>279.99</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345-6F94-4EC4-9AD8-FC5B50E6C4DC}">
  <sheetPr codeName="Sheet397"/>
  <dimension ref="A1:D11"/>
  <sheetViews>
    <sheetView workbookViewId="0">
      <selection activeCell="G17" sqref="G17"/>
    </sheetView>
  </sheetViews>
  <sheetFormatPr defaultRowHeight="14.4"/>
  <cols>
    <col min="1" max="1" width="9.6640625" bestFit="1" customWidth="1"/>
    <col min="2" max="2" width="10.109375" bestFit="1" customWidth="1"/>
    <col min="4" max="4" width="16.6640625" bestFit="1" customWidth="1"/>
  </cols>
  <sheetData>
    <row r="1" spans="1:4">
      <c r="A1" s="1" t="s">
        <v>201</v>
      </c>
      <c r="B1" s="1" t="s">
        <v>706</v>
      </c>
      <c r="D1" s="1" t="s">
        <v>3589</v>
      </c>
    </row>
    <row r="2" spans="1:4">
      <c r="A2" s="2" t="s">
        <v>3477</v>
      </c>
      <c r="B2" s="20">
        <v>44581</v>
      </c>
      <c r="D2" s="66">
        <f ca="1">INDEX(A5:B8,RANDBETWEEN(1,4),2)</f>
        <v>44630</v>
      </c>
    </row>
    <row r="3" spans="1:4">
      <c r="A3" s="2" t="s">
        <v>3478</v>
      </c>
      <c r="B3" s="20">
        <v>44595</v>
      </c>
    </row>
    <row r="4" spans="1:4">
      <c r="A4" s="2" t="s">
        <v>3479</v>
      </c>
      <c r="B4" s="20">
        <v>44611</v>
      </c>
    </row>
    <row r="5" spans="1:4">
      <c r="A5" s="2" t="s">
        <v>3480</v>
      </c>
      <c r="B5" s="20">
        <v>44630</v>
      </c>
    </row>
    <row r="6" spans="1:4">
      <c r="A6" s="2" t="s">
        <v>3584</v>
      </c>
      <c r="B6" s="20">
        <v>44634</v>
      </c>
    </row>
    <row r="7" spans="1:4">
      <c r="A7" s="2" t="s">
        <v>3585</v>
      </c>
      <c r="B7" s="20">
        <v>44640</v>
      </c>
    </row>
    <row r="8" spans="1:4">
      <c r="A8" s="2" t="s">
        <v>3481</v>
      </c>
      <c r="B8" s="20">
        <v>44651</v>
      </c>
    </row>
    <row r="9" spans="1:4">
      <c r="A9" s="2" t="s">
        <v>3586</v>
      </c>
      <c r="B9" s="20">
        <v>44656</v>
      </c>
    </row>
    <row r="10" spans="1:4">
      <c r="A10" s="2" t="s">
        <v>3587</v>
      </c>
      <c r="B10" s="20">
        <v>44674</v>
      </c>
    </row>
    <row r="11" spans="1:4">
      <c r="A11" s="2" t="s">
        <v>3588</v>
      </c>
      <c r="B11" s="20">
        <v>44682</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FB85-8257-4DF2-947C-6BCF46D106BA}">
  <sheetPr codeName="Sheet398"/>
  <dimension ref="A1:B11"/>
  <sheetViews>
    <sheetView workbookViewId="0">
      <selection activeCell="G17" sqref="G17"/>
    </sheetView>
  </sheetViews>
  <sheetFormatPr defaultRowHeight="14.4"/>
  <cols>
    <col min="1" max="1" width="18.33203125" bestFit="1" customWidth="1"/>
    <col min="2" max="2" width="14.44140625" bestFit="1" customWidth="1"/>
  </cols>
  <sheetData>
    <row r="1" spans="1:2">
      <c r="A1" s="1" t="s">
        <v>3590</v>
      </c>
      <c r="B1" s="1" t="s">
        <v>3591</v>
      </c>
    </row>
    <row r="2" spans="1:2">
      <c r="A2" s="3" t="s">
        <v>3592</v>
      </c>
      <c r="B2" s="57" t="str">
        <f ca="1">CHAR(RANDBETWEEN(CODE("A"),CODE("D")))</f>
        <v>A</v>
      </c>
    </row>
    <row r="3" spans="1:2">
      <c r="A3" s="3" t="s">
        <v>3593</v>
      </c>
      <c r="B3" s="57" t="str">
        <f t="shared" ref="B3:B9" ca="1" si="0">CHAR(RANDBETWEEN(CODE("A"),CODE("D")))</f>
        <v>C</v>
      </c>
    </row>
    <row r="4" spans="1:2">
      <c r="A4" s="3" t="s">
        <v>3594</v>
      </c>
      <c r="B4" s="57" t="str">
        <f t="shared" ca="1" si="0"/>
        <v>C</v>
      </c>
    </row>
    <row r="5" spans="1:2">
      <c r="A5" s="3" t="s">
        <v>3595</v>
      </c>
      <c r="B5" s="57" t="str">
        <f ca="1">CHAR(RANDBETWEEN(CODE("A"),CODE("D")))</f>
        <v>D</v>
      </c>
    </row>
    <row r="6" spans="1:2">
      <c r="A6" s="3" t="s">
        <v>3596</v>
      </c>
      <c r="B6" s="57" t="str">
        <f ca="1">CHAR(RANDBETWEEN(CODE("A"),CODE("D")))</f>
        <v>D</v>
      </c>
    </row>
    <row r="7" spans="1:2">
      <c r="A7" s="3" t="s">
        <v>3597</v>
      </c>
      <c r="B7" s="57" t="str">
        <f t="shared" ca="1" si="0"/>
        <v>C</v>
      </c>
    </row>
    <row r="8" spans="1:2">
      <c r="A8" s="3" t="s">
        <v>3598</v>
      </c>
      <c r="B8" s="57" t="str">
        <f ca="1">CHAR(RANDBETWEEN(CODE("A"),CODE("D")))</f>
        <v>C</v>
      </c>
    </row>
    <row r="9" spans="1:2">
      <c r="A9" s="3" t="s">
        <v>3599</v>
      </c>
      <c r="B9" s="57" t="str">
        <f t="shared" ca="1" si="0"/>
        <v>A</v>
      </c>
    </row>
    <row r="10" spans="1:2">
      <c r="A10" s="3" t="s">
        <v>3600</v>
      </c>
      <c r="B10" s="57" t="str">
        <f ca="1">CHAR(RANDBETWEEN(CODE("A"),CODE("D")))</f>
        <v>A</v>
      </c>
    </row>
    <row r="11" spans="1:2">
      <c r="A11" s="3" t="s">
        <v>3601</v>
      </c>
      <c r="B11" s="57" t="str">
        <f ca="1">CHAR(RANDBETWEEN(CODE("A"),CODE("D")))</f>
        <v>A</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32A2-1812-4B16-981D-A1997235A22D}">
  <sheetPr codeName="Sheet399"/>
  <dimension ref="A1:F2"/>
  <sheetViews>
    <sheetView workbookViewId="0">
      <selection activeCell="G17" sqref="G17"/>
    </sheetView>
  </sheetViews>
  <sheetFormatPr defaultRowHeight="14.4"/>
  <cols>
    <col min="1" max="6" width="10.44140625" bestFit="1" customWidth="1"/>
  </cols>
  <sheetData>
    <row r="1" spans="1:6">
      <c r="A1" s="369" t="s">
        <v>3602</v>
      </c>
      <c r="B1" s="369"/>
      <c r="C1" s="369"/>
      <c r="D1" s="369"/>
      <c r="E1" s="369"/>
      <c r="F1" s="369"/>
    </row>
    <row r="2" spans="1:6">
      <c r="A2" s="66">
        <f t="shared" ref="A2:F2" ca="1" si="0">RANDBETWEEN(DATEVALUE("1-Oct-2022"),DATEVALUE("20-Oct-2022"))</f>
        <v>44842</v>
      </c>
      <c r="B2" s="66">
        <f t="shared" ca="1" si="0"/>
        <v>44835</v>
      </c>
      <c r="C2" s="66">
        <f t="shared" ca="1" si="0"/>
        <v>44837</v>
      </c>
      <c r="D2" s="66">
        <f t="shared" ca="1" si="0"/>
        <v>44836</v>
      </c>
      <c r="E2" s="66">
        <f t="shared" ca="1" si="0"/>
        <v>44843</v>
      </c>
      <c r="F2" s="66">
        <f t="shared" ca="1" si="0"/>
        <v>44847</v>
      </c>
    </row>
  </sheetData>
  <mergeCells count="1">
    <mergeCell ref="A1:F1"/>
  </mergeCells>
  <pageMargins left="0.7" right="0.7" top="0.75" bottom="0.75" header="0.3" footer="0.3"/>
  <pageSetup orientation="portrait" horizontalDpi="4294967293" verticalDpi="0"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54C5-08C7-465E-8D4C-C9BBAD0A2CD5}">
  <sheetPr codeName="Sheet400"/>
  <dimension ref="A1:R11"/>
  <sheetViews>
    <sheetView workbookViewId="0"/>
  </sheetViews>
  <sheetFormatPr defaultRowHeight="14.4"/>
  <cols>
    <col min="1" max="1" width="26.109375" customWidth="1"/>
    <col min="2" max="2" width="26.88671875" customWidth="1"/>
  </cols>
  <sheetData>
    <row r="1" spans="1:18" ht="43.2">
      <c r="A1" s="8" t="s">
        <v>3603</v>
      </c>
      <c r="B1" s="8" t="s">
        <v>3604</v>
      </c>
    </row>
    <row r="2" spans="1:18">
      <c r="A2" s="7">
        <v>33</v>
      </c>
      <c r="B2" s="7">
        <f>19+_xlfn.RANK.EQ(A2,$A$2:$A$11)+COUNTIF($A$2:A2,A2)-1</f>
        <v>26</v>
      </c>
    </row>
    <row r="3" spans="1:18">
      <c r="A3" s="7">
        <v>50</v>
      </c>
      <c r="B3" s="7">
        <f>19+_xlfn.RANK.EQ(A3,$A$2:$A$11)+COUNTIF($A$2:A3,A3)-1</f>
        <v>20</v>
      </c>
    </row>
    <row r="4" spans="1:18">
      <c r="A4" s="7">
        <v>48</v>
      </c>
      <c r="B4" s="7">
        <f>19+_xlfn.RANK.EQ(A4,$A$2:$A$11)+COUNTIF($A$2:A4,A4)-1</f>
        <v>21</v>
      </c>
    </row>
    <row r="5" spans="1:18">
      <c r="A5" s="7">
        <v>34</v>
      </c>
      <c r="B5" s="7">
        <f>19+_xlfn.RANK.EQ(A5,$A$2:$A$11)+COUNTIF($A$2:A5,A5)-1</f>
        <v>25</v>
      </c>
    </row>
    <row r="6" spans="1:18">
      <c r="A6" s="7">
        <v>31</v>
      </c>
      <c r="B6" s="7">
        <f>19+_xlfn.RANK.EQ(A6,$A$2:$A$11)+COUNTIF($A$2:A6,A6)-1</f>
        <v>27</v>
      </c>
    </row>
    <row r="7" spans="1:18">
      <c r="A7" s="7">
        <v>42</v>
      </c>
      <c r="B7" s="7">
        <f>19+_xlfn.RANK.EQ(A7,$A$2:$A$11)+COUNTIF($A$2:A7,A7)-1</f>
        <v>22</v>
      </c>
    </row>
    <row r="8" spans="1:18">
      <c r="A8" s="7">
        <v>40</v>
      </c>
      <c r="B8" s="7">
        <f>19+_xlfn.RANK.EQ(A8,$A$2:$A$11)+COUNTIF($A$2:A8,A8)-1</f>
        <v>23</v>
      </c>
      <c r="R8" t="e">
        <f>9+_xlfn.RANK.EQ(A1,$A$1:$A$10)+COUNTIF($A$1:A1,A1)-1</f>
        <v>#VALUE!</v>
      </c>
    </row>
    <row r="9" spans="1:18">
      <c r="A9" s="7">
        <v>27</v>
      </c>
      <c r="B9" s="7">
        <f>19+_xlfn.RANK.EQ(A9,$A$2:$A$11)+COUNTIF($A$2:A9,A9)-1</f>
        <v>29</v>
      </c>
    </row>
    <row r="10" spans="1:18">
      <c r="A10" s="7">
        <v>31</v>
      </c>
      <c r="B10" s="7">
        <f>19+_xlfn.RANK.EQ(A10,$A$2:$A$11)+COUNTIF($A$2:A10,A10)-1</f>
        <v>28</v>
      </c>
    </row>
    <row r="11" spans="1:18">
      <c r="A11" s="7">
        <v>39</v>
      </c>
      <c r="B11" s="7">
        <f>19+_xlfn.RANK.EQ(A11,$A$2:$A$11)+COUNTIF($A$2:A11,A11)-1</f>
        <v>24</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C23E-FCB1-44CB-AD04-EDD8474F67E8}">
  <sheetPr codeName="Sheet401"/>
  <dimension ref="A1:F5"/>
  <sheetViews>
    <sheetView workbookViewId="0"/>
  </sheetViews>
  <sheetFormatPr defaultRowHeight="14.4"/>
  <cols>
    <col min="1" max="3" width="9.109375" bestFit="1" customWidth="1"/>
    <col min="4" max="4" width="38.44140625" bestFit="1" customWidth="1"/>
    <col min="5" max="5" width="15.5546875" bestFit="1" customWidth="1"/>
    <col min="6" max="6" width="32.109375" bestFit="1" customWidth="1"/>
  </cols>
  <sheetData>
    <row r="1" spans="1:6">
      <c r="A1" s="1" t="s">
        <v>3607</v>
      </c>
      <c r="B1" s="1" t="s">
        <v>3608</v>
      </c>
      <c r="C1" s="1" t="s">
        <v>3609</v>
      </c>
      <c r="D1" s="1" t="s">
        <v>622</v>
      </c>
      <c r="E1" s="1" t="s">
        <v>3610</v>
      </c>
      <c r="F1" s="1" t="s">
        <v>1520</v>
      </c>
    </row>
    <row r="2" spans="1:6">
      <c r="A2" s="2">
        <v>10</v>
      </c>
      <c r="B2" s="2">
        <v>20</v>
      </c>
      <c r="C2" s="2">
        <v>30</v>
      </c>
      <c r="D2" s="2" t="s">
        <v>3612</v>
      </c>
      <c r="E2" s="7">
        <f>PRODUCT(A2,B2)</f>
        <v>200</v>
      </c>
      <c r="F2" s="2" t="s">
        <v>3615</v>
      </c>
    </row>
    <row r="3" spans="1:6">
      <c r="A3" s="2">
        <v>7</v>
      </c>
      <c r="B3" s="2">
        <v>8</v>
      </c>
      <c r="C3" s="2">
        <v>9</v>
      </c>
      <c r="D3" s="2" t="s">
        <v>3614</v>
      </c>
      <c r="E3" s="7">
        <f>PRODUCT(B3,C3)</f>
        <v>72</v>
      </c>
      <c r="F3" s="2" t="s">
        <v>3616</v>
      </c>
    </row>
    <row r="4" spans="1:6">
      <c r="A4" s="2">
        <v>5</v>
      </c>
      <c r="B4" s="2">
        <v>15</v>
      </c>
      <c r="C4" s="2">
        <v>25</v>
      </c>
      <c r="D4" s="2" t="s">
        <v>3613</v>
      </c>
      <c r="E4" s="7">
        <f>PRODUCT(A4,C4)</f>
        <v>125</v>
      </c>
      <c r="F4" s="2" t="s">
        <v>3617</v>
      </c>
    </row>
    <row r="5" spans="1:6">
      <c r="A5" s="2">
        <v>2</v>
      </c>
      <c r="B5" s="2">
        <v>4</v>
      </c>
      <c r="C5" s="2">
        <v>6</v>
      </c>
      <c r="D5" s="2" t="s">
        <v>3611</v>
      </c>
      <c r="E5" s="7">
        <f>PRODUCT(A5:C5)</f>
        <v>48</v>
      </c>
      <c r="F5" s="2" t="s">
        <v>3618</v>
      </c>
    </row>
  </sheetData>
  <pageMargins left="0.7" right="0.7" top="0.75" bottom="0.75" header="0.3" footer="0.3"/>
  <pageSetup orientation="portrait" horizontalDpi="4294967293"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9851-1901-4B01-B756-5F34BAA12F92}">
  <sheetPr codeName="Sheet402"/>
  <dimension ref="A1:G7"/>
  <sheetViews>
    <sheetView workbookViewId="0"/>
  </sheetViews>
  <sheetFormatPr defaultRowHeight="14.4"/>
  <cols>
    <col min="1" max="6" width="12" bestFit="1" customWidth="1"/>
    <col min="7" max="7" width="10.109375" customWidth="1"/>
  </cols>
  <sheetData>
    <row r="1" spans="1:7">
      <c r="A1" s="1" t="s">
        <v>3619</v>
      </c>
      <c r="B1" s="1" t="s">
        <v>3620</v>
      </c>
      <c r="C1" s="1" t="s">
        <v>3621</v>
      </c>
      <c r="D1" s="1" t="s">
        <v>3622</v>
      </c>
      <c r="E1" s="1" t="s">
        <v>3623</v>
      </c>
      <c r="F1" s="1" t="s">
        <v>3624</v>
      </c>
      <c r="G1" s="1" t="s">
        <v>201</v>
      </c>
    </row>
    <row r="2" spans="1:7">
      <c r="A2" s="2">
        <v>11</v>
      </c>
      <c r="B2" s="2">
        <v>12</v>
      </c>
      <c r="C2" s="2">
        <v>13</v>
      </c>
      <c r="D2" s="2">
        <v>14</v>
      </c>
      <c r="E2" s="2">
        <v>15</v>
      </c>
      <c r="F2" s="2">
        <v>16</v>
      </c>
      <c r="G2" s="7">
        <f t="shared" ref="G2:G7" si="0">PRODUCT(A2:F2)</f>
        <v>5765760</v>
      </c>
    </row>
    <row r="3" spans="1:7">
      <c r="A3" s="2">
        <v>0</v>
      </c>
      <c r="B3" s="2">
        <v>2</v>
      </c>
      <c r="C3" s="2">
        <v>4</v>
      </c>
      <c r="D3" s="2">
        <v>6</v>
      </c>
      <c r="E3" s="2">
        <v>8</v>
      </c>
      <c r="F3" s="2">
        <v>10</v>
      </c>
      <c r="G3" s="7">
        <f t="shared" si="0"/>
        <v>0</v>
      </c>
    </row>
    <row r="4" spans="1:7">
      <c r="A4" s="2">
        <v>9</v>
      </c>
      <c r="B4" s="2"/>
      <c r="C4" s="2"/>
      <c r="D4" s="2">
        <v>8</v>
      </c>
      <c r="E4" s="2">
        <v>7</v>
      </c>
      <c r="F4" s="2"/>
      <c r="G4" s="7">
        <f t="shared" si="0"/>
        <v>504</v>
      </c>
    </row>
    <row r="5" spans="1:7">
      <c r="A5" s="2">
        <v>-1</v>
      </c>
      <c r="B5" s="2">
        <v>1</v>
      </c>
      <c r="C5" s="2">
        <v>1</v>
      </c>
      <c r="D5" s="2">
        <v>1</v>
      </c>
      <c r="E5" s="2">
        <v>1</v>
      </c>
      <c r="F5" s="2">
        <v>1</v>
      </c>
      <c r="G5" s="7">
        <f t="shared" si="0"/>
        <v>-1</v>
      </c>
    </row>
    <row r="6" spans="1:7">
      <c r="A6" s="2">
        <v>-4</v>
      </c>
      <c r="B6" s="2">
        <v>-8</v>
      </c>
      <c r="C6" s="2" t="s">
        <v>3216</v>
      </c>
      <c r="D6" s="2" t="s">
        <v>657</v>
      </c>
      <c r="E6" s="2" t="s">
        <v>3625</v>
      </c>
      <c r="F6" s="2"/>
      <c r="G6" s="7">
        <f t="shared" si="0"/>
        <v>32</v>
      </c>
    </row>
    <row r="7" spans="1:7">
      <c r="A7" s="114">
        <v>0.44444444444444442</v>
      </c>
      <c r="B7" s="114">
        <v>0.41666666666666669</v>
      </c>
      <c r="C7" s="114">
        <v>0.14285714285714285</v>
      </c>
      <c r="D7" s="114">
        <v>0.88888888888888884</v>
      </c>
      <c r="E7" s="2">
        <v>5</v>
      </c>
      <c r="F7" s="2">
        <v>3</v>
      </c>
      <c r="G7" s="7">
        <f t="shared" si="0"/>
        <v>0.35273368606701938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11F5-27A5-4F92-B7BA-A4F448D5CB85}">
  <sheetPr codeName="Sheet403"/>
  <dimension ref="A1:D11"/>
  <sheetViews>
    <sheetView workbookViewId="0"/>
  </sheetViews>
  <sheetFormatPr defaultRowHeight="14.4"/>
  <cols>
    <col min="1" max="1" width="28.109375" bestFit="1" customWidth="1"/>
    <col min="2" max="4" width="18.44140625" bestFit="1" customWidth="1"/>
  </cols>
  <sheetData>
    <row r="1" spans="1:4">
      <c r="A1" s="1" t="s">
        <v>856</v>
      </c>
      <c r="B1" s="1" t="s">
        <v>3626</v>
      </c>
      <c r="C1" s="1" t="s">
        <v>3627</v>
      </c>
      <c r="D1" s="1" t="s">
        <v>3628</v>
      </c>
    </row>
    <row r="2" spans="1:4">
      <c r="A2" s="2">
        <v>1</v>
      </c>
      <c r="B2" s="2">
        <v>0.4</v>
      </c>
      <c r="C2" s="2">
        <v>0.2</v>
      </c>
      <c r="D2" s="2">
        <v>0.1</v>
      </c>
    </row>
    <row r="3" spans="1:4">
      <c r="A3" s="2">
        <v>2</v>
      </c>
      <c r="B3" s="2">
        <v>0.5</v>
      </c>
      <c r="C3" s="2">
        <v>0.3</v>
      </c>
      <c r="D3" s="2">
        <v>0.4</v>
      </c>
    </row>
    <row r="4" spans="1:4">
      <c r="A4" s="2">
        <v>3</v>
      </c>
      <c r="B4" s="2">
        <v>0.9</v>
      </c>
      <c r="C4" s="2">
        <v>0.6</v>
      </c>
      <c r="D4" s="2">
        <v>0.6</v>
      </c>
    </row>
    <row r="5" spans="1:4">
      <c r="A5" s="2">
        <v>4</v>
      </c>
      <c r="B5" s="2">
        <v>13</v>
      </c>
      <c r="C5" s="2">
        <v>0.7</v>
      </c>
      <c r="D5" s="2">
        <v>0.9</v>
      </c>
    </row>
    <row r="6" spans="1:4">
      <c r="A6" s="2">
        <v>5</v>
      </c>
      <c r="B6" s="2">
        <v>1.5</v>
      </c>
      <c r="C6" s="2">
        <v>0.9</v>
      </c>
      <c r="D6" s="2">
        <v>1.1000000000000001</v>
      </c>
    </row>
    <row r="9" spans="1:4">
      <c r="A9" s="369" t="s">
        <v>3631</v>
      </c>
      <c r="B9" s="369"/>
    </row>
    <row r="10" spans="1:4">
      <c r="A10" s="2" t="s">
        <v>3629</v>
      </c>
      <c r="B10" s="7">
        <f>PRODUCT(B2:B6,D2:D6)</f>
        <v>8.339760000000003E-2</v>
      </c>
    </row>
    <row r="11" spans="1:4">
      <c r="A11" s="2" t="s">
        <v>3630</v>
      </c>
      <c r="B11" s="7">
        <f>PRODUCT(B4:B6,C4:C6,D4:D6)</f>
        <v>3.9405365999999993</v>
      </c>
    </row>
  </sheetData>
  <mergeCells count="1">
    <mergeCell ref="A9:B9"/>
  </mergeCells>
  <pageMargins left="0.7" right="0.7" top="0.75" bottom="0.75" header="0.3" footer="0.3"/>
  <ignoredErrors>
    <ignoredError sqref="B11" formulaRange="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A81BA-37CB-4CF4-8DF5-4F86E1C741F1}">
  <sheetPr codeName="Sheet404"/>
  <dimension ref="A1:C13"/>
  <sheetViews>
    <sheetView workbookViewId="0"/>
  </sheetViews>
  <sheetFormatPr defaultRowHeight="14.4"/>
  <cols>
    <col min="1" max="1" width="41.109375" bestFit="1" customWidth="1"/>
    <col min="2" max="2" width="44.109375" bestFit="1" customWidth="1"/>
    <col min="3" max="3" width="33.44140625" bestFit="1" customWidth="1"/>
  </cols>
  <sheetData>
    <row r="1" spans="1:3">
      <c r="A1" s="1" t="s">
        <v>32</v>
      </c>
      <c r="B1" s="1" t="s">
        <v>3660</v>
      </c>
      <c r="C1" s="1" t="s">
        <v>3632</v>
      </c>
    </row>
    <row r="2" spans="1:3">
      <c r="A2" s="2" t="s">
        <v>307</v>
      </c>
      <c r="B2" s="2">
        <v>10</v>
      </c>
      <c r="C2" s="2">
        <v>25</v>
      </c>
    </row>
    <row r="3" spans="1:3">
      <c r="A3" s="2" t="s">
        <v>308</v>
      </c>
      <c r="B3" s="2">
        <v>5</v>
      </c>
      <c r="C3" s="2">
        <v>27</v>
      </c>
    </row>
    <row r="4" spans="1:3">
      <c r="A4" s="2" t="s">
        <v>309</v>
      </c>
      <c r="B4" s="2">
        <v>6</v>
      </c>
      <c r="C4" s="2">
        <v>24</v>
      </c>
    </row>
    <row r="5" spans="1:3">
      <c r="A5" s="2" t="s">
        <v>310</v>
      </c>
      <c r="B5" s="2">
        <v>3</v>
      </c>
      <c r="C5" s="2">
        <v>22</v>
      </c>
    </row>
    <row r="6" spans="1:3">
      <c r="A6" s="2" t="s">
        <v>51</v>
      </c>
      <c r="B6" s="2">
        <v>9</v>
      </c>
      <c r="C6" s="2">
        <v>20</v>
      </c>
    </row>
    <row r="7" spans="1:3">
      <c r="A7" s="2" t="s">
        <v>311</v>
      </c>
      <c r="B7" s="2">
        <v>15</v>
      </c>
      <c r="C7" s="2">
        <v>26</v>
      </c>
    </row>
    <row r="10" spans="1:3">
      <c r="A10" s="1" t="s">
        <v>3661</v>
      </c>
      <c r="B10" s="7">
        <f>SUM(B2:B7)</f>
        <v>48</v>
      </c>
    </row>
    <row r="11" spans="1:3">
      <c r="A11" s="1" t="s">
        <v>3633</v>
      </c>
      <c r="B11" s="7">
        <f>AVERAGE(C2:C7)</f>
        <v>24</v>
      </c>
    </row>
    <row r="13" spans="1:3">
      <c r="A13" s="1" t="s">
        <v>3634</v>
      </c>
      <c r="B13" s="7">
        <f>PRODUCT(SUM(B2:B7),AVERAGE(C2:C7))</f>
        <v>1152</v>
      </c>
    </row>
  </sheetData>
  <pageMargins left="0.7" right="0.7" top="0.75" bottom="0.75" header="0.3" footer="0.3"/>
  <pageSetup orientation="portrait" horizontalDpi="4294967293"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4E44-1838-4893-A8EF-D1D3DED93A46}">
  <sheetPr codeName="Sheet405"/>
  <dimension ref="A1:H11"/>
  <sheetViews>
    <sheetView workbookViewId="0"/>
  </sheetViews>
  <sheetFormatPr defaultRowHeight="14.4"/>
  <cols>
    <col min="2" max="2" width="26.44140625" bestFit="1" customWidth="1"/>
    <col min="5" max="5" width="23.5546875" bestFit="1" customWidth="1"/>
    <col min="8" max="8" width="29.5546875" bestFit="1" customWidth="1"/>
  </cols>
  <sheetData>
    <row r="1" spans="1:8">
      <c r="A1" s="1" t="s">
        <v>3635</v>
      </c>
      <c r="B1" s="1" t="s">
        <v>3646</v>
      </c>
      <c r="D1" s="1" t="s">
        <v>3635</v>
      </c>
      <c r="E1" s="1" t="s">
        <v>3647</v>
      </c>
      <c r="G1" s="58" t="s">
        <v>3635</v>
      </c>
      <c r="H1" s="1" t="s">
        <v>3648</v>
      </c>
    </row>
    <row r="2" spans="1:8">
      <c r="A2" s="2" t="s">
        <v>3636</v>
      </c>
      <c r="B2" s="2">
        <v>150</v>
      </c>
      <c r="D2" s="2" t="s">
        <v>3636</v>
      </c>
      <c r="E2" s="2">
        <v>5</v>
      </c>
      <c r="G2" s="2" t="s">
        <v>3636</v>
      </c>
      <c r="H2" s="7">
        <f t="shared" ref="H2:H11" si="0">PRODUCT(VLOOKUP(G2,A:B,2,0),VLOOKUP(G2,D:E,2,0))</f>
        <v>750</v>
      </c>
    </row>
    <row r="3" spans="1:8">
      <c r="A3" s="2" t="s">
        <v>3637</v>
      </c>
      <c r="B3" s="2">
        <v>120</v>
      </c>
      <c r="D3" s="2" t="s">
        <v>3637</v>
      </c>
      <c r="E3" s="2">
        <v>10</v>
      </c>
      <c r="G3" s="2" t="s">
        <v>3639</v>
      </c>
      <c r="H3" s="7">
        <f t="shared" si="0"/>
        <v>180</v>
      </c>
    </row>
    <row r="4" spans="1:8">
      <c r="A4" s="2" t="s">
        <v>3638</v>
      </c>
      <c r="B4" s="2">
        <v>100</v>
      </c>
      <c r="D4" s="2" t="s">
        <v>3638</v>
      </c>
      <c r="E4" s="2">
        <v>4</v>
      </c>
      <c r="G4" s="2" t="s">
        <v>3645</v>
      </c>
      <c r="H4" s="7">
        <f t="shared" si="0"/>
        <v>390</v>
      </c>
    </row>
    <row r="5" spans="1:8">
      <c r="A5" s="2" t="s">
        <v>3639</v>
      </c>
      <c r="B5" s="2">
        <v>90</v>
      </c>
      <c r="D5" s="2" t="s">
        <v>3639</v>
      </c>
      <c r="E5" s="2">
        <v>2</v>
      </c>
      <c r="G5" s="2" t="s">
        <v>3637</v>
      </c>
      <c r="H5" s="7">
        <f t="shared" si="0"/>
        <v>1200</v>
      </c>
    </row>
    <row r="6" spans="1:8">
      <c r="A6" s="2" t="s">
        <v>3640</v>
      </c>
      <c r="B6" s="2">
        <v>110</v>
      </c>
      <c r="D6" s="2" t="s">
        <v>3640</v>
      </c>
      <c r="E6" s="2">
        <v>1</v>
      </c>
      <c r="G6" s="2" t="s">
        <v>3641</v>
      </c>
      <c r="H6" s="7">
        <f t="shared" si="0"/>
        <v>840</v>
      </c>
    </row>
    <row r="7" spans="1:8">
      <c r="A7" s="2" t="s">
        <v>3641</v>
      </c>
      <c r="B7" s="2">
        <v>140</v>
      </c>
      <c r="D7" s="2" t="s">
        <v>3641</v>
      </c>
      <c r="E7" s="2">
        <v>6</v>
      </c>
      <c r="G7" s="2" t="s">
        <v>3644</v>
      </c>
      <c r="H7" s="7">
        <f t="shared" si="0"/>
        <v>1500</v>
      </c>
    </row>
    <row r="8" spans="1:8">
      <c r="A8" s="2" t="s">
        <v>3642</v>
      </c>
      <c r="B8" s="2">
        <v>80</v>
      </c>
      <c r="D8" s="2" t="s">
        <v>3642</v>
      </c>
      <c r="E8" s="2">
        <v>10</v>
      </c>
      <c r="G8" s="2" t="s">
        <v>3640</v>
      </c>
      <c r="H8" s="7">
        <f t="shared" si="0"/>
        <v>110</v>
      </c>
    </row>
    <row r="9" spans="1:8">
      <c r="A9" s="2" t="s">
        <v>3643</v>
      </c>
      <c r="B9" s="2">
        <v>50</v>
      </c>
      <c r="D9" s="2" t="s">
        <v>3643</v>
      </c>
      <c r="E9" s="2">
        <v>12</v>
      </c>
      <c r="G9" s="2" t="s">
        <v>3642</v>
      </c>
      <c r="H9" s="7">
        <f t="shared" si="0"/>
        <v>800</v>
      </c>
    </row>
    <row r="10" spans="1:8">
      <c r="A10" s="2" t="s">
        <v>3644</v>
      </c>
      <c r="B10" s="2">
        <v>100</v>
      </c>
      <c r="D10" s="2" t="s">
        <v>3644</v>
      </c>
      <c r="E10" s="2">
        <v>15</v>
      </c>
      <c r="G10" s="2" t="s">
        <v>3643</v>
      </c>
      <c r="H10" s="7">
        <f t="shared" si="0"/>
        <v>600</v>
      </c>
    </row>
    <row r="11" spans="1:8">
      <c r="A11" s="2" t="s">
        <v>3645</v>
      </c>
      <c r="B11" s="2">
        <v>130</v>
      </c>
      <c r="D11" s="2" t="s">
        <v>3645</v>
      </c>
      <c r="E11" s="2">
        <v>3</v>
      </c>
      <c r="G11" s="2" t="s">
        <v>3638</v>
      </c>
      <c r="H11" s="7">
        <f t="shared" si="0"/>
        <v>400</v>
      </c>
    </row>
  </sheetData>
  <sortState xmlns:xlrd2="http://schemas.microsoft.com/office/spreadsheetml/2017/richdata2" ref="G2:G11">
    <sortCondition ref="G2"/>
  </sortState>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7BF-2633-41E4-9184-AA397B5BEE7A}">
  <sheetPr codeName="Sheet406"/>
  <dimension ref="A1:D12"/>
  <sheetViews>
    <sheetView workbookViewId="0"/>
  </sheetViews>
  <sheetFormatPr defaultRowHeight="14.4"/>
  <cols>
    <col min="1" max="1" width="30.33203125" bestFit="1" customWidth="1"/>
    <col min="2" max="2" width="22.5546875" bestFit="1" customWidth="1"/>
    <col min="3" max="3" width="15.6640625" bestFit="1" customWidth="1"/>
    <col min="4" max="4" width="21.109375" bestFit="1" customWidth="1"/>
  </cols>
  <sheetData>
    <row r="1" spans="1:4">
      <c r="A1" s="1" t="s">
        <v>3472</v>
      </c>
      <c r="B1" s="1" t="s">
        <v>2195</v>
      </c>
      <c r="C1" s="1" t="s">
        <v>80</v>
      </c>
      <c r="D1" s="1" t="s">
        <v>3659</v>
      </c>
    </row>
    <row r="2" spans="1:4">
      <c r="A2" s="2" t="s">
        <v>3649</v>
      </c>
      <c r="B2" s="2">
        <v>5</v>
      </c>
      <c r="C2" s="2">
        <v>1200</v>
      </c>
      <c r="D2" s="7" t="str">
        <f>IF(B2&gt;15,IF(OR(B2="",C2=""),"Incomplete Data",PRODUCT(B2,C2)),"NA")</f>
        <v>NA</v>
      </c>
    </row>
    <row r="3" spans="1:4">
      <c r="A3" s="2" t="s">
        <v>3650</v>
      </c>
      <c r="B3" s="2">
        <v>35</v>
      </c>
      <c r="C3" s="2">
        <v>2000</v>
      </c>
      <c r="D3" s="7">
        <f t="shared" ref="D3:D12" si="0">IF(B3&gt;15,IF(OR(B3="",C3=""),"Incomplete Data",PRODUCT(B3,C3)),"NA")</f>
        <v>70000</v>
      </c>
    </row>
    <row r="4" spans="1:4">
      <c r="A4" s="2" t="s">
        <v>3651</v>
      </c>
      <c r="B4" s="2">
        <v>20</v>
      </c>
      <c r="C4" s="2"/>
      <c r="D4" s="7" t="str">
        <f t="shared" si="0"/>
        <v>Incomplete Data</v>
      </c>
    </row>
    <row r="5" spans="1:4">
      <c r="A5" s="2" t="s">
        <v>3652</v>
      </c>
      <c r="B5" s="2">
        <v>30</v>
      </c>
      <c r="C5" s="2">
        <v>1500</v>
      </c>
      <c r="D5" s="7">
        <f t="shared" si="0"/>
        <v>45000</v>
      </c>
    </row>
    <row r="6" spans="1:4">
      <c r="A6" s="2" t="s">
        <v>3653</v>
      </c>
      <c r="B6" s="2">
        <v>25</v>
      </c>
      <c r="C6" s="2"/>
      <c r="D6" s="7" t="str">
        <f t="shared" si="0"/>
        <v>Incomplete Data</v>
      </c>
    </row>
    <row r="7" spans="1:4">
      <c r="A7" s="2" t="s">
        <v>3654</v>
      </c>
      <c r="B7" s="2">
        <v>25</v>
      </c>
      <c r="C7" s="2"/>
      <c r="D7" s="7" t="str">
        <f t="shared" si="0"/>
        <v>Incomplete Data</v>
      </c>
    </row>
    <row r="8" spans="1:4">
      <c r="A8" s="2" t="s">
        <v>3655</v>
      </c>
      <c r="B8" s="2">
        <v>30</v>
      </c>
      <c r="C8" s="2">
        <v>1650</v>
      </c>
      <c r="D8" s="7">
        <f t="shared" si="0"/>
        <v>49500</v>
      </c>
    </row>
    <row r="9" spans="1:4">
      <c r="A9" s="2" t="s">
        <v>3656</v>
      </c>
      <c r="B9" s="2">
        <v>10</v>
      </c>
      <c r="C9" s="2">
        <v>700</v>
      </c>
      <c r="D9" s="7" t="str">
        <f t="shared" si="0"/>
        <v>NA</v>
      </c>
    </row>
    <row r="10" spans="1:4">
      <c r="A10" s="2" t="s">
        <v>3657</v>
      </c>
      <c r="B10" s="2"/>
      <c r="C10" s="2">
        <v>1700</v>
      </c>
      <c r="D10" s="7" t="str">
        <f t="shared" si="0"/>
        <v>NA</v>
      </c>
    </row>
    <row r="11" spans="1:4">
      <c r="A11" s="2" t="s">
        <v>3534</v>
      </c>
      <c r="B11" s="2">
        <v>25</v>
      </c>
      <c r="C11" s="2"/>
      <c r="D11" s="7" t="str">
        <f t="shared" si="0"/>
        <v>Incomplete Data</v>
      </c>
    </row>
    <row r="12" spans="1:4">
      <c r="A12" s="2" t="s">
        <v>3658</v>
      </c>
      <c r="B12" s="2">
        <v>32</v>
      </c>
      <c r="C12" s="2">
        <v>1200</v>
      </c>
      <c r="D12" s="7">
        <f t="shared" si="0"/>
        <v>38400</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688E-10CD-46F1-A53A-252A6BB7BBA6}">
  <sheetPr codeName="Sheet407"/>
  <dimension ref="A1:C4"/>
  <sheetViews>
    <sheetView workbookViewId="0">
      <selection activeCell="B12" sqref="B12"/>
    </sheetView>
  </sheetViews>
  <sheetFormatPr defaultRowHeight="14.4"/>
  <cols>
    <col min="1" max="1" width="7.44140625" bestFit="1" customWidth="1"/>
    <col min="2" max="3" width="16.109375" bestFit="1" customWidth="1"/>
  </cols>
  <sheetData>
    <row r="1" spans="1:3">
      <c r="A1" s="1" t="s">
        <v>201</v>
      </c>
      <c r="B1" s="1" t="s">
        <v>3662</v>
      </c>
      <c r="C1" s="1" t="s">
        <v>3663</v>
      </c>
    </row>
    <row r="2" spans="1:3">
      <c r="A2" s="2" t="s">
        <v>3664</v>
      </c>
      <c r="B2" s="83">
        <v>24000</v>
      </c>
      <c r="C2" s="83">
        <v>25000</v>
      </c>
    </row>
    <row r="3" spans="1:3">
      <c r="A3" s="2" t="s">
        <v>3665</v>
      </c>
      <c r="B3" s="83">
        <v>30000</v>
      </c>
      <c r="C3" s="83">
        <v>28000</v>
      </c>
    </row>
    <row r="4" spans="1:3">
      <c r="A4" s="2" t="s">
        <v>3666</v>
      </c>
      <c r="B4" s="83">
        <v>25000</v>
      </c>
      <c r="C4" s="83">
        <v>35000</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DFA-8D13-4B6A-A1EF-E588CB94B44C}">
  <sheetPr codeName="Sheet408"/>
  <dimension ref="A1:C6"/>
  <sheetViews>
    <sheetView workbookViewId="0">
      <selection activeCell="B12" sqref="B12"/>
    </sheetView>
  </sheetViews>
  <sheetFormatPr defaultRowHeight="14.4"/>
  <cols>
    <col min="1" max="1" width="7.44140625" bestFit="1" customWidth="1"/>
    <col min="2" max="3" width="16.109375" bestFit="1" customWidth="1"/>
  </cols>
  <sheetData>
    <row r="1" spans="1:3">
      <c r="A1" s="1" t="s">
        <v>201</v>
      </c>
      <c r="B1" s="1" t="s">
        <v>3662</v>
      </c>
      <c r="C1" s="1" t="s">
        <v>3663</v>
      </c>
    </row>
    <row r="2" spans="1:3">
      <c r="A2" s="2" t="s">
        <v>3664</v>
      </c>
      <c r="B2" s="83">
        <v>21000</v>
      </c>
      <c r="C2" s="83">
        <v>27000</v>
      </c>
    </row>
    <row r="3" spans="1:3">
      <c r="A3" s="2" t="s">
        <v>3665</v>
      </c>
      <c r="B3" s="83">
        <v>26000</v>
      </c>
      <c r="C3" s="83">
        <v>30000</v>
      </c>
    </row>
    <row r="4" spans="1:3">
      <c r="A4" s="2" t="s">
        <v>3666</v>
      </c>
      <c r="B4" s="83">
        <v>22000</v>
      </c>
      <c r="C4" s="83">
        <v>31000</v>
      </c>
    </row>
    <row r="5" spans="1:3">
      <c r="A5" s="2" t="s">
        <v>3667</v>
      </c>
      <c r="B5" s="83">
        <v>28000</v>
      </c>
      <c r="C5" s="83">
        <v>33000</v>
      </c>
    </row>
    <row r="6" spans="1:3">
      <c r="A6" s="2" t="s">
        <v>3668</v>
      </c>
      <c r="B6" s="83">
        <v>20000</v>
      </c>
      <c r="C6" s="83">
        <v>29000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ACA7-79B6-41C6-ADAD-F224F48B57A3}">
  <sheetPr codeName="Sheet409"/>
  <dimension ref="A1:C6"/>
  <sheetViews>
    <sheetView workbookViewId="0">
      <selection activeCell="B12" sqref="B12"/>
    </sheetView>
  </sheetViews>
  <sheetFormatPr defaultRowHeight="14.4"/>
  <cols>
    <col min="1" max="1" width="7.44140625" bestFit="1" customWidth="1"/>
    <col min="2" max="3" width="22.5546875" bestFit="1" customWidth="1"/>
  </cols>
  <sheetData>
    <row r="1" spans="1:3">
      <c r="A1" s="1" t="s">
        <v>201</v>
      </c>
      <c r="B1" s="1" t="s">
        <v>3670</v>
      </c>
      <c r="C1" s="1" t="s">
        <v>3671</v>
      </c>
    </row>
    <row r="2" spans="1:3">
      <c r="A2" s="2" t="s">
        <v>3664</v>
      </c>
      <c r="B2" s="87">
        <v>45000</v>
      </c>
      <c r="C2" s="87">
        <v>52000</v>
      </c>
    </row>
    <row r="3" spans="1:3">
      <c r="A3" s="2" t="s">
        <v>3665</v>
      </c>
      <c r="B3" s="87">
        <v>56000</v>
      </c>
      <c r="C3" s="87">
        <v>58000</v>
      </c>
    </row>
    <row r="4" spans="1:3">
      <c r="A4" s="2" t="s">
        <v>3666</v>
      </c>
      <c r="B4" s="87">
        <v>47000</v>
      </c>
      <c r="C4" s="87">
        <v>66000</v>
      </c>
    </row>
    <row r="5" spans="1:3">
      <c r="A5" s="2" t="s">
        <v>3667</v>
      </c>
      <c r="B5" s="87">
        <v>28000</v>
      </c>
      <c r="C5" s="87">
        <v>33000</v>
      </c>
    </row>
    <row r="6" spans="1:3">
      <c r="A6" s="2" t="s">
        <v>3668</v>
      </c>
      <c r="B6" s="87">
        <v>20000</v>
      </c>
      <c r="C6" s="87">
        <v>29000</v>
      </c>
    </row>
  </sheetData>
  <dataConsolidate>
    <dataRefs count="2">
      <dataRef ref="C2:C4" sheet="Sales Report_RegionalOffice1"/>
      <dataRef ref="C2:C6" sheet="Sales Report_RegionalOffice2"/>
    </dataRefs>
  </dataConsolidate>
  <pageMargins left="0.7" right="0.7" top="0.75" bottom="0.75" header="0.3" footer="0.3"/>
  <pageSetup orientation="portrait" horizontalDpi="4294967293" verticalDpi="0"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5E5F-6645-4597-9F63-0D31D1E00C43}">
  <sheetPr codeName="Sheet410"/>
  <dimension ref="A1:E4"/>
  <sheetViews>
    <sheetView workbookViewId="0">
      <selection activeCell="B12" sqref="B12"/>
    </sheetView>
  </sheetViews>
  <sheetFormatPr defaultRowHeight="14.4"/>
  <cols>
    <col min="1" max="1" width="10.33203125" bestFit="1" customWidth="1"/>
    <col min="2" max="5" width="16.88671875" bestFit="1" customWidth="1"/>
  </cols>
  <sheetData>
    <row r="1" spans="1:5">
      <c r="A1" s="1" t="s">
        <v>3676</v>
      </c>
      <c r="B1" s="1" t="s">
        <v>3672</v>
      </c>
      <c r="C1" s="1" t="s">
        <v>3673</v>
      </c>
      <c r="D1" s="1" t="s">
        <v>3674</v>
      </c>
      <c r="E1" s="1" t="s">
        <v>3675</v>
      </c>
    </row>
    <row r="2" spans="1:5">
      <c r="A2" s="2" t="s">
        <v>3677</v>
      </c>
      <c r="B2" s="83">
        <v>20000</v>
      </c>
      <c r="C2" s="83">
        <v>23000</v>
      </c>
      <c r="D2" s="83">
        <v>35000</v>
      </c>
      <c r="E2" s="83">
        <v>28000</v>
      </c>
    </row>
    <row r="3" spans="1:5">
      <c r="A3" s="2" t="s">
        <v>3678</v>
      </c>
      <c r="B3" s="83">
        <v>19000</v>
      </c>
      <c r="C3" s="83">
        <v>21000</v>
      </c>
      <c r="D3" s="83">
        <v>24000</v>
      </c>
      <c r="E3" s="83">
        <v>27000</v>
      </c>
    </row>
    <row r="4" spans="1:5">
      <c r="A4" s="2" t="s">
        <v>3679</v>
      </c>
      <c r="B4" s="83">
        <v>25000</v>
      </c>
      <c r="C4" s="83">
        <v>25000</v>
      </c>
      <c r="D4" s="83">
        <v>29000</v>
      </c>
      <c r="E4" s="83">
        <v>26000</v>
      </c>
    </row>
  </sheetData>
  <dataConsolidate/>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C547-B5DE-4802-8185-878D0374D73B}">
  <sheetPr codeName="Sheet411"/>
  <dimension ref="A1:E4"/>
  <sheetViews>
    <sheetView workbookViewId="0">
      <selection activeCell="B12" sqref="B12"/>
    </sheetView>
  </sheetViews>
  <sheetFormatPr defaultRowHeight="14.4"/>
  <cols>
    <col min="1" max="1" width="10.33203125" bestFit="1" customWidth="1"/>
    <col min="2" max="5" width="16.88671875" bestFit="1" customWidth="1"/>
  </cols>
  <sheetData>
    <row r="1" spans="1:5">
      <c r="A1" s="1" t="s">
        <v>3676</v>
      </c>
      <c r="B1" s="1" t="s">
        <v>3672</v>
      </c>
      <c r="C1" s="1" t="s">
        <v>3673</v>
      </c>
      <c r="D1" s="1" t="s">
        <v>3674</v>
      </c>
      <c r="E1" s="1" t="s">
        <v>3675</v>
      </c>
    </row>
    <row r="2" spans="1:5">
      <c r="A2" s="2" t="s">
        <v>3677</v>
      </c>
      <c r="B2" s="83">
        <v>25000</v>
      </c>
      <c r="C2" s="83">
        <v>28000</v>
      </c>
      <c r="D2" s="83">
        <v>30000</v>
      </c>
      <c r="E2" s="83">
        <v>24000</v>
      </c>
    </row>
    <row r="3" spans="1:5">
      <c r="A3" s="2" t="s">
        <v>3678</v>
      </c>
      <c r="B3" s="83">
        <v>20000</v>
      </c>
      <c r="C3" s="83">
        <v>17000</v>
      </c>
      <c r="D3" s="83">
        <v>24000</v>
      </c>
      <c r="E3" s="83">
        <v>23000</v>
      </c>
    </row>
    <row r="4" spans="1:5">
      <c r="A4" s="2" t="s">
        <v>3679</v>
      </c>
      <c r="B4" s="83">
        <v>24000</v>
      </c>
      <c r="C4" s="83">
        <v>27000</v>
      </c>
      <c r="D4" s="83">
        <v>29000</v>
      </c>
      <c r="E4" s="83">
        <v>30000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1E114-3D47-4DA1-8A5A-27559B56AD9F}">
  <sheetPr codeName="Sheet412"/>
  <dimension ref="A1:E4"/>
  <sheetViews>
    <sheetView workbookViewId="0">
      <selection activeCell="B12" sqref="B12"/>
    </sheetView>
  </sheetViews>
  <sheetFormatPr defaultRowHeight="14.4"/>
  <cols>
    <col min="1" max="1" width="10.33203125" bestFit="1" customWidth="1"/>
    <col min="2" max="5" width="16.88671875" bestFit="1" customWidth="1"/>
  </cols>
  <sheetData>
    <row r="1" spans="1:5">
      <c r="A1" s="1" t="s">
        <v>3676</v>
      </c>
      <c r="B1" s="1" t="s">
        <v>3672</v>
      </c>
      <c r="C1" s="1" t="s">
        <v>3673</v>
      </c>
      <c r="D1" s="1" t="s">
        <v>3674</v>
      </c>
      <c r="E1" s="1" t="s">
        <v>3675</v>
      </c>
    </row>
    <row r="2" spans="1:5">
      <c r="A2" s="2" t="s">
        <v>3677</v>
      </c>
      <c r="B2" s="83">
        <v>27000</v>
      </c>
      <c r="C2" s="83">
        <v>25000</v>
      </c>
      <c r="D2" s="83">
        <v>30000</v>
      </c>
      <c r="E2" s="83">
        <v>31000</v>
      </c>
    </row>
    <row r="3" spans="1:5">
      <c r="A3" s="2" t="s">
        <v>3678</v>
      </c>
      <c r="B3" s="83">
        <v>21000</v>
      </c>
      <c r="C3" s="83">
        <v>24000</v>
      </c>
      <c r="D3" s="83">
        <v>23000</v>
      </c>
      <c r="E3" s="83">
        <v>27000</v>
      </c>
    </row>
    <row r="4" spans="1:5">
      <c r="A4" s="2" t="s">
        <v>3679</v>
      </c>
      <c r="B4" s="83">
        <v>28000</v>
      </c>
      <c r="C4" s="83">
        <v>25000</v>
      </c>
      <c r="D4" s="83">
        <v>30000</v>
      </c>
      <c r="E4" s="83">
        <v>32000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F6C5-615A-477F-B32D-B5722039E8ED}">
  <sheetPr codeName="Sheet413"/>
  <dimension ref="A1:F13"/>
  <sheetViews>
    <sheetView zoomScaleNormal="100" workbookViewId="0">
      <selection activeCell="B12" sqref="B12"/>
    </sheetView>
  </sheetViews>
  <sheetFormatPr defaultRowHeight="14.4" outlineLevelRow="1"/>
  <cols>
    <col min="1" max="1" width="10.33203125" bestFit="1" customWidth="1"/>
    <col min="2" max="2" width="35.5546875" bestFit="1" customWidth="1"/>
    <col min="3" max="6" width="16.88671875" bestFit="1" customWidth="1"/>
  </cols>
  <sheetData>
    <row r="1" spans="1:6">
      <c r="C1" t="s">
        <v>3672</v>
      </c>
      <c r="D1" t="s">
        <v>3673</v>
      </c>
      <c r="E1" t="s">
        <v>3674</v>
      </c>
      <c r="F1" t="s">
        <v>3675</v>
      </c>
    </row>
    <row r="2" spans="1:6" hidden="1" outlineLevel="1">
      <c r="B2" t="s">
        <v>3669</v>
      </c>
      <c r="C2" s="154">
        <f>'Texas_Year1 Revenue Report'!$B$2</f>
        <v>20000</v>
      </c>
      <c r="D2" s="154">
        <f>'Texas_Year1 Revenue Report'!$C$2</f>
        <v>23000</v>
      </c>
      <c r="E2" s="154">
        <f>'Texas_Year1 Revenue Report'!$D$2</f>
        <v>35000</v>
      </c>
      <c r="F2" s="154">
        <f>'Texas_Year1 Revenue Report'!$E$2</f>
        <v>28000</v>
      </c>
    </row>
    <row r="3" spans="1:6" hidden="1" outlineLevel="1" collapsed="1">
      <c r="B3" t="s">
        <v>3669</v>
      </c>
      <c r="C3" s="154">
        <f>'Texas_Year2 Revenue Report'!$B$2</f>
        <v>25000</v>
      </c>
      <c r="D3" s="154">
        <f>'Texas_Year2 Revenue Report'!$C$2</f>
        <v>28000</v>
      </c>
      <c r="E3" s="154">
        <f>'Texas_Year2 Revenue Report'!$D$2</f>
        <v>30000</v>
      </c>
      <c r="F3" s="154">
        <f>'Texas_Year2 Revenue Report'!$E$2</f>
        <v>24000</v>
      </c>
    </row>
    <row r="4" spans="1:6" hidden="1" outlineLevel="1" collapsed="1">
      <c r="B4" t="s">
        <v>3669</v>
      </c>
      <c r="C4" s="154">
        <f>'Texas_Year3 Revenue Report'!$B$2</f>
        <v>27000</v>
      </c>
      <c r="D4" s="154">
        <f>'Texas_Year3 Revenue Report'!$C$2</f>
        <v>25000</v>
      </c>
      <c r="E4" s="154">
        <f>'Texas_Year3 Revenue Report'!$D$2</f>
        <v>30000</v>
      </c>
      <c r="F4" s="154">
        <f>'Texas_Year3 Revenue Report'!$E$2</f>
        <v>31000</v>
      </c>
    </row>
    <row r="5" spans="1:6" collapsed="1">
      <c r="A5" t="s">
        <v>3677</v>
      </c>
      <c r="C5" s="154">
        <f>SUM(C2:C4)</f>
        <v>72000</v>
      </c>
      <c r="D5" s="154">
        <f>SUM(D2:D4)</f>
        <v>76000</v>
      </c>
      <c r="E5" s="154">
        <f>SUM(E2:E4)</f>
        <v>95000</v>
      </c>
      <c r="F5" s="154">
        <f>SUM(F2:F4)</f>
        <v>83000</v>
      </c>
    </row>
    <row r="6" spans="1:6" hidden="1" outlineLevel="1">
      <c r="B6" t="s">
        <v>3669</v>
      </c>
      <c r="C6" s="154">
        <f>'Texas_Year1 Revenue Report'!$B$3</f>
        <v>19000</v>
      </c>
      <c r="D6" s="154">
        <f>'Texas_Year1 Revenue Report'!$C$3</f>
        <v>21000</v>
      </c>
      <c r="E6" s="154">
        <f>'Texas_Year1 Revenue Report'!$D$3</f>
        <v>24000</v>
      </c>
      <c r="F6" s="154">
        <f>'Texas_Year1 Revenue Report'!$E$3</f>
        <v>27000</v>
      </c>
    </row>
    <row r="7" spans="1:6" hidden="1" outlineLevel="1" collapsed="1">
      <c r="B7" t="s">
        <v>3669</v>
      </c>
      <c r="C7" s="154">
        <f>'Texas_Year2 Revenue Report'!$B$3</f>
        <v>20000</v>
      </c>
      <c r="D7" s="154">
        <f>'Texas_Year2 Revenue Report'!$C$3</f>
        <v>17000</v>
      </c>
      <c r="E7" s="154">
        <f>'Texas_Year2 Revenue Report'!$D$3</f>
        <v>24000</v>
      </c>
      <c r="F7" s="154">
        <f>'Texas_Year2 Revenue Report'!$E$3</f>
        <v>23000</v>
      </c>
    </row>
    <row r="8" spans="1:6" hidden="1" outlineLevel="1" collapsed="1">
      <c r="B8" t="s">
        <v>3669</v>
      </c>
      <c r="C8" s="154">
        <f>'Texas_Year3 Revenue Report'!$B$3</f>
        <v>21000</v>
      </c>
      <c r="D8" s="154">
        <f>'Texas_Year3 Revenue Report'!$C$3</f>
        <v>24000</v>
      </c>
      <c r="E8" s="154">
        <f>'Texas_Year3 Revenue Report'!$D$3</f>
        <v>23000</v>
      </c>
      <c r="F8" s="154">
        <f>'Texas_Year3 Revenue Report'!$E$3</f>
        <v>27000</v>
      </c>
    </row>
    <row r="9" spans="1:6" collapsed="1">
      <c r="A9" t="s">
        <v>3678</v>
      </c>
      <c r="C9" s="154">
        <f>SUM(C6:C8)</f>
        <v>60000</v>
      </c>
      <c r="D9" s="154">
        <f>SUM(D6:D8)</f>
        <v>62000</v>
      </c>
      <c r="E9" s="154">
        <f>SUM(E6:E8)</f>
        <v>71000</v>
      </c>
      <c r="F9" s="154">
        <f>SUM(F6:F8)</f>
        <v>77000</v>
      </c>
    </row>
    <row r="10" spans="1:6" hidden="1" outlineLevel="1">
      <c r="B10" t="s">
        <v>3669</v>
      </c>
      <c r="C10" s="154">
        <f>'Texas_Year1 Revenue Report'!$B$4</f>
        <v>25000</v>
      </c>
      <c r="D10" s="154">
        <f>'Texas_Year1 Revenue Report'!$C$4</f>
        <v>25000</v>
      </c>
      <c r="E10" s="154">
        <f>'Texas_Year1 Revenue Report'!$D$4</f>
        <v>29000</v>
      </c>
      <c r="F10" s="154">
        <f>'Texas_Year1 Revenue Report'!$E$4</f>
        <v>26000</v>
      </c>
    </row>
    <row r="11" spans="1:6" hidden="1" outlineLevel="1" collapsed="1">
      <c r="B11" t="s">
        <v>3669</v>
      </c>
      <c r="C11" s="154">
        <f>'Texas_Year2 Revenue Report'!$B$4</f>
        <v>24000</v>
      </c>
      <c r="D11" s="154">
        <f>'Texas_Year2 Revenue Report'!$C$4</f>
        <v>27000</v>
      </c>
      <c r="E11" s="154">
        <f>'Texas_Year2 Revenue Report'!$D$4</f>
        <v>29000</v>
      </c>
      <c r="F11" s="154">
        <f>'Texas_Year2 Revenue Report'!$E$4</f>
        <v>30000</v>
      </c>
    </row>
    <row r="12" spans="1:6" hidden="1" outlineLevel="1" collapsed="1">
      <c r="B12" t="s">
        <v>3669</v>
      </c>
      <c r="C12" s="154">
        <f>'Texas_Year3 Revenue Report'!$B$4</f>
        <v>28000</v>
      </c>
      <c r="D12" s="154">
        <f>'Texas_Year3 Revenue Report'!$C$4</f>
        <v>25000</v>
      </c>
      <c r="E12" s="154">
        <f>'Texas_Year3 Revenue Report'!$D$4</f>
        <v>30000</v>
      </c>
      <c r="F12" s="154">
        <f>'Texas_Year3 Revenue Report'!$E$4</f>
        <v>32000</v>
      </c>
    </row>
    <row r="13" spans="1:6" collapsed="1">
      <c r="A13" t="s">
        <v>3679</v>
      </c>
      <c r="C13" s="154">
        <f>SUM(C10:C12)</f>
        <v>77000</v>
      </c>
      <c r="D13" s="154">
        <f>SUM(D10:D12)</f>
        <v>77000</v>
      </c>
      <c r="E13" s="154">
        <f>SUM(E10:E12)</f>
        <v>88000</v>
      </c>
      <c r="F13" s="154">
        <f>SUM(F10:F12)</f>
        <v>88000</v>
      </c>
    </row>
  </sheetData>
  <dataConsolidate topLabels="1">
    <dataRefs count="3">
      <dataRef ref="A1:E4" sheet="Texas_Year1 Revenue Report"/>
      <dataRef ref="A1:E4" sheet="Texas_Year2 Revenue Report"/>
      <dataRef ref="A1:E4" sheet="Texas_Year3 Revenue Report"/>
    </dataRefs>
  </dataConsolidate>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ED6A-43DE-4B91-B35E-74CB3299E029}">
  <sheetPr codeName="Sheet414"/>
  <dimension ref="A1:E11"/>
  <sheetViews>
    <sheetView workbookViewId="0"/>
  </sheetViews>
  <sheetFormatPr defaultRowHeight="14.4"/>
  <cols>
    <col min="1" max="1" width="17.88671875" bestFit="1" customWidth="1"/>
    <col min="2" max="2" width="26.6640625" bestFit="1" customWidth="1"/>
    <col min="3" max="3" width="21.5546875" bestFit="1" customWidth="1"/>
    <col min="4" max="4" width="24.109375" bestFit="1" customWidth="1"/>
    <col min="5" max="5" width="21.5546875" bestFit="1" customWidth="1"/>
  </cols>
  <sheetData>
    <row r="1" spans="1:5">
      <c r="A1" s="1" t="s">
        <v>0</v>
      </c>
      <c r="B1" s="1" t="s">
        <v>3680</v>
      </c>
      <c r="C1" s="1" t="s">
        <v>3338</v>
      </c>
      <c r="D1" s="1" t="s">
        <v>3681</v>
      </c>
      <c r="E1" s="1" t="s">
        <v>3682</v>
      </c>
    </row>
    <row r="2" spans="1:5">
      <c r="A2" s="3" t="s">
        <v>3683</v>
      </c>
      <c r="B2" s="2">
        <v>85</v>
      </c>
      <c r="C2" s="2">
        <v>88</v>
      </c>
      <c r="D2" s="2">
        <v>89</v>
      </c>
      <c r="E2" s="2">
        <v>75</v>
      </c>
    </row>
    <row r="3" spans="1:5">
      <c r="A3" s="3" t="s">
        <v>3684</v>
      </c>
      <c r="B3" s="2">
        <v>90</v>
      </c>
      <c r="C3" s="2">
        <v>84</v>
      </c>
      <c r="D3" s="2">
        <v>93</v>
      </c>
      <c r="E3" s="2">
        <v>88</v>
      </c>
    </row>
    <row r="4" spans="1:5">
      <c r="A4" s="3" t="s">
        <v>3685</v>
      </c>
      <c r="B4" s="2">
        <v>95</v>
      </c>
      <c r="C4" s="2">
        <v>98</v>
      </c>
      <c r="D4" s="2">
        <v>98</v>
      </c>
      <c r="E4" s="2">
        <v>87</v>
      </c>
    </row>
    <row r="5" spans="1:5">
      <c r="A5" s="3" t="s">
        <v>3686</v>
      </c>
      <c r="B5" s="2">
        <v>99</v>
      </c>
      <c r="C5" s="2">
        <v>93</v>
      </c>
      <c r="D5" s="2">
        <v>95</v>
      </c>
      <c r="E5" s="2">
        <v>80</v>
      </c>
    </row>
    <row r="6" spans="1:5">
      <c r="A6" s="3" t="s">
        <v>3687</v>
      </c>
      <c r="B6" s="2">
        <v>100</v>
      </c>
      <c r="C6" s="2">
        <v>94</v>
      </c>
      <c r="D6" s="2">
        <v>99</v>
      </c>
      <c r="E6" s="2">
        <v>81</v>
      </c>
    </row>
    <row r="7" spans="1:5">
      <c r="A7" s="3" t="s">
        <v>3688</v>
      </c>
      <c r="B7" s="2">
        <v>88</v>
      </c>
      <c r="C7" s="2">
        <v>92</v>
      </c>
      <c r="D7" s="2">
        <v>94</v>
      </c>
      <c r="E7" s="2">
        <v>89</v>
      </c>
    </row>
    <row r="8" spans="1:5">
      <c r="A8" s="3" t="s">
        <v>3689</v>
      </c>
      <c r="B8" s="2">
        <v>89</v>
      </c>
      <c r="C8" s="2">
        <v>91</v>
      </c>
      <c r="D8" s="2">
        <v>85</v>
      </c>
      <c r="E8" s="2">
        <v>94</v>
      </c>
    </row>
    <row r="9" spans="1:5">
      <c r="A9" s="3" t="s">
        <v>3690</v>
      </c>
      <c r="B9" s="2">
        <v>75</v>
      </c>
      <c r="C9" s="2">
        <v>90</v>
      </c>
      <c r="D9" s="2">
        <v>80</v>
      </c>
      <c r="E9" s="2">
        <v>95</v>
      </c>
    </row>
    <row r="10" spans="1:5">
      <c r="A10" s="3" t="s">
        <v>3691</v>
      </c>
      <c r="B10" s="2">
        <v>55</v>
      </c>
      <c r="C10" s="2">
        <v>97</v>
      </c>
      <c r="D10" s="2">
        <v>86</v>
      </c>
      <c r="E10" s="2">
        <v>73</v>
      </c>
    </row>
    <row r="11" spans="1:5">
      <c r="A11" s="3" t="s">
        <v>3692</v>
      </c>
      <c r="B11" s="2">
        <v>84</v>
      </c>
      <c r="C11" s="2">
        <v>99</v>
      </c>
      <c r="D11" s="2">
        <v>92</v>
      </c>
      <c r="E11" s="2">
        <v>77</v>
      </c>
    </row>
  </sheetData>
  <pageMargins left="0.7" right="0.7" top="0.75" bottom="0.75" header="0.3" footer="0.3"/>
  <pageSetup orientation="portrait" horizontalDpi="4294967293"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3CED-92F6-4FFF-8471-22F497021A68}">
  <sheetPr codeName="Sheet415"/>
  <dimension ref="A1:E11"/>
  <sheetViews>
    <sheetView workbookViewId="0"/>
  </sheetViews>
  <sheetFormatPr defaultRowHeight="14.4"/>
  <cols>
    <col min="1" max="1" width="17.88671875" bestFit="1" customWidth="1"/>
    <col min="2" max="2" width="24.109375" bestFit="1" customWidth="1"/>
    <col min="3" max="4" width="21.5546875" bestFit="1" customWidth="1"/>
    <col min="5" max="5" width="26.6640625" bestFit="1" customWidth="1"/>
  </cols>
  <sheetData>
    <row r="1" spans="1:5">
      <c r="A1" s="1" t="s">
        <v>0</v>
      </c>
      <c r="B1" s="1" t="s">
        <v>3681</v>
      </c>
      <c r="C1" s="1" t="s">
        <v>3682</v>
      </c>
      <c r="D1" s="1" t="s">
        <v>3338</v>
      </c>
      <c r="E1" s="1" t="s">
        <v>3680</v>
      </c>
    </row>
    <row r="2" spans="1:5">
      <c r="A2" s="3" t="s">
        <v>3683</v>
      </c>
      <c r="B2" s="2">
        <v>95</v>
      </c>
      <c r="C2" s="2">
        <v>94</v>
      </c>
      <c r="D2" s="2">
        <v>91</v>
      </c>
      <c r="E2" s="2">
        <v>75</v>
      </c>
    </row>
    <row r="3" spans="1:5">
      <c r="A3" s="3" t="s">
        <v>3684</v>
      </c>
      <c r="B3" s="2">
        <v>99</v>
      </c>
      <c r="C3" s="2">
        <v>93</v>
      </c>
      <c r="D3" s="2">
        <v>90</v>
      </c>
      <c r="E3" s="2">
        <v>79</v>
      </c>
    </row>
    <row r="4" spans="1:5">
      <c r="A4" s="3" t="s">
        <v>3685</v>
      </c>
      <c r="B4" s="2">
        <v>90</v>
      </c>
      <c r="C4" s="2">
        <v>89</v>
      </c>
      <c r="D4" s="2">
        <v>94</v>
      </c>
      <c r="E4" s="2">
        <v>80</v>
      </c>
    </row>
    <row r="5" spans="1:5">
      <c r="A5" s="3" t="s">
        <v>3686</v>
      </c>
      <c r="B5" s="2">
        <v>99</v>
      </c>
      <c r="C5" s="2">
        <v>80</v>
      </c>
      <c r="D5" s="2">
        <v>96</v>
      </c>
      <c r="E5" s="2">
        <v>88</v>
      </c>
    </row>
    <row r="6" spans="1:5">
      <c r="A6" s="3" t="s">
        <v>3687</v>
      </c>
      <c r="B6" s="2">
        <v>86</v>
      </c>
      <c r="C6" s="2">
        <v>84</v>
      </c>
      <c r="D6" s="2">
        <v>99</v>
      </c>
      <c r="E6" s="2">
        <v>95</v>
      </c>
    </row>
    <row r="7" spans="1:5">
      <c r="A7" s="3" t="s">
        <v>3688</v>
      </c>
      <c r="B7" s="2">
        <v>88</v>
      </c>
      <c r="C7" s="2">
        <v>95</v>
      </c>
      <c r="D7" s="2">
        <v>98</v>
      </c>
      <c r="E7" s="2">
        <v>90</v>
      </c>
    </row>
    <row r="8" spans="1:5">
      <c r="A8" s="3" t="s">
        <v>3689</v>
      </c>
      <c r="B8" s="2">
        <v>95</v>
      </c>
      <c r="C8" s="2">
        <v>90</v>
      </c>
      <c r="D8" s="2">
        <v>75</v>
      </c>
      <c r="E8" s="2">
        <v>94</v>
      </c>
    </row>
    <row r="9" spans="1:5">
      <c r="A9" s="3" t="s">
        <v>3690</v>
      </c>
      <c r="B9" s="2">
        <v>83</v>
      </c>
      <c r="C9" s="2">
        <v>100</v>
      </c>
      <c r="D9" s="2">
        <v>88</v>
      </c>
      <c r="E9" s="2">
        <v>95</v>
      </c>
    </row>
    <row r="10" spans="1:5">
      <c r="A10" s="3" t="s">
        <v>3691</v>
      </c>
      <c r="B10" s="2">
        <v>94</v>
      </c>
      <c r="C10" s="2">
        <v>96</v>
      </c>
      <c r="D10" s="2">
        <v>70</v>
      </c>
      <c r="E10" s="2">
        <v>76</v>
      </c>
    </row>
    <row r="11" spans="1:5">
      <c r="A11" s="3" t="s">
        <v>3692</v>
      </c>
      <c r="B11" s="2">
        <v>93</v>
      </c>
      <c r="C11" s="2">
        <v>81</v>
      </c>
      <c r="D11" s="2">
        <v>100</v>
      </c>
      <c r="E11" s="2">
        <v>74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9653-CD05-413A-ACEB-AB257B01F1F0}">
  <sheetPr codeName="Sheet416"/>
  <dimension ref="A1:F31"/>
  <sheetViews>
    <sheetView workbookViewId="0"/>
  </sheetViews>
  <sheetFormatPr defaultRowHeight="14.4" outlineLevelRow="1"/>
  <cols>
    <col min="1" max="1" width="17.88671875" bestFit="1" customWidth="1"/>
    <col min="2" max="2" width="6.88671875" customWidth="1"/>
    <col min="3" max="3" width="26.44140625" bestFit="1" customWidth="1"/>
    <col min="4" max="4" width="21.44140625" bestFit="1" customWidth="1"/>
    <col min="5" max="5" width="23.88671875" bestFit="1" customWidth="1"/>
    <col min="6" max="6" width="21.5546875" bestFit="1" customWidth="1"/>
  </cols>
  <sheetData>
    <row r="1" spans="1:6">
      <c r="C1" t="s">
        <v>3680</v>
      </c>
      <c r="D1" t="s">
        <v>3338</v>
      </c>
      <c r="E1" t="s">
        <v>3681</v>
      </c>
      <c r="F1" t="s">
        <v>3682</v>
      </c>
    </row>
    <row r="2" spans="1:6" hidden="1" outlineLevel="1">
      <c r="B2" t="s">
        <v>3669</v>
      </c>
      <c r="C2">
        <f>Assessment1_Marks!$B$2</f>
        <v>85</v>
      </c>
      <c r="D2">
        <f>Assessment1_Marks!$C$2</f>
        <v>88</v>
      </c>
      <c r="E2">
        <f>Assessment1_Marks!$D$2</f>
        <v>89</v>
      </c>
      <c r="F2">
        <f>Assessment1_Marks!$E$2</f>
        <v>75</v>
      </c>
    </row>
    <row r="3" spans="1:6" hidden="1" outlineLevel="1" collapsed="1">
      <c r="B3" t="s">
        <v>3669</v>
      </c>
      <c r="C3">
        <f>Assessment2_Marks!$E$2</f>
        <v>75</v>
      </c>
      <c r="D3">
        <f>Assessment2_Marks!$D$2</f>
        <v>91</v>
      </c>
      <c r="E3">
        <f>Assessment2_Marks!$B$2</f>
        <v>95</v>
      </c>
      <c r="F3">
        <f>Assessment2_Marks!$C$2</f>
        <v>94</v>
      </c>
    </row>
    <row r="4" spans="1:6" collapsed="1">
      <c r="A4" t="s">
        <v>3683</v>
      </c>
      <c r="C4">
        <f>MAX(C2:C3)</f>
        <v>85</v>
      </c>
      <c r="D4">
        <f>MAX(D2:D3)</f>
        <v>91</v>
      </c>
      <c r="E4">
        <f>MAX(E2:E3)</f>
        <v>95</v>
      </c>
      <c r="F4">
        <f>MAX(F2:F3)</f>
        <v>94</v>
      </c>
    </row>
    <row r="5" spans="1:6" hidden="1" outlineLevel="1">
      <c r="B5" t="s">
        <v>3669</v>
      </c>
      <c r="C5">
        <f>Assessment1_Marks!$B$3</f>
        <v>90</v>
      </c>
      <c r="D5">
        <f>Assessment1_Marks!$C$3</f>
        <v>84</v>
      </c>
      <c r="E5">
        <f>Assessment1_Marks!$D$3</f>
        <v>93</v>
      </c>
      <c r="F5">
        <f>Assessment1_Marks!$E$3</f>
        <v>88</v>
      </c>
    </row>
    <row r="6" spans="1:6" hidden="1" outlineLevel="1" collapsed="1">
      <c r="B6" t="s">
        <v>3669</v>
      </c>
      <c r="C6">
        <f>Assessment2_Marks!$E$3</f>
        <v>79</v>
      </c>
      <c r="D6">
        <f>Assessment2_Marks!$D$3</f>
        <v>90</v>
      </c>
      <c r="E6">
        <f>Assessment2_Marks!$B$3</f>
        <v>99</v>
      </c>
      <c r="F6">
        <f>Assessment2_Marks!$C$3</f>
        <v>93</v>
      </c>
    </row>
    <row r="7" spans="1:6" collapsed="1">
      <c r="A7" t="s">
        <v>3684</v>
      </c>
      <c r="C7">
        <f>MAX(C5:C6)</f>
        <v>90</v>
      </c>
      <c r="D7">
        <f>MAX(D5:D6)</f>
        <v>90</v>
      </c>
      <c r="E7">
        <f>MAX(E5:E6)</f>
        <v>99</v>
      </c>
      <c r="F7">
        <f>MAX(F5:F6)</f>
        <v>93</v>
      </c>
    </row>
    <row r="8" spans="1:6" hidden="1" outlineLevel="1">
      <c r="B8" t="s">
        <v>3669</v>
      </c>
      <c r="C8">
        <f>Assessment1_Marks!$B$4</f>
        <v>95</v>
      </c>
      <c r="D8">
        <f>Assessment1_Marks!$C$4</f>
        <v>98</v>
      </c>
      <c r="E8">
        <f>Assessment1_Marks!$D$4</f>
        <v>98</v>
      </c>
      <c r="F8">
        <f>Assessment1_Marks!$E$4</f>
        <v>87</v>
      </c>
    </row>
    <row r="9" spans="1:6" hidden="1" outlineLevel="1" collapsed="1">
      <c r="B9" t="s">
        <v>3669</v>
      </c>
      <c r="C9">
        <f>Assessment2_Marks!$E$4</f>
        <v>80</v>
      </c>
      <c r="D9">
        <f>Assessment2_Marks!$D$4</f>
        <v>94</v>
      </c>
      <c r="E9">
        <f>Assessment2_Marks!$B$4</f>
        <v>90</v>
      </c>
      <c r="F9">
        <f>Assessment2_Marks!$C$4</f>
        <v>89</v>
      </c>
    </row>
    <row r="10" spans="1:6" collapsed="1">
      <c r="A10" t="s">
        <v>3685</v>
      </c>
      <c r="C10">
        <f>MAX(C8:C9)</f>
        <v>95</v>
      </c>
      <c r="D10">
        <f>MAX(D8:D9)</f>
        <v>98</v>
      </c>
      <c r="E10">
        <f>MAX(E8:E9)</f>
        <v>98</v>
      </c>
      <c r="F10">
        <f>MAX(F8:F9)</f>
        <v>89</v>
      </c>
    </row>
    <row r="11" spans="1:6" hidden="1" outlineLevel="1">
      <c r="B11" t="s">
        <v>3669</v>
      </c>
      <c r="C11">
        <f>Assessment1_Marks!$B$5</f>
        <v>99</v>
      </c>
      <c r="D11">
        <f>Assessment1_Marks!$C$5</f>
        <v>93</v>
      </c>
      <c r="E11">
        <f>Assessment1_Marks!$D$5</f>
        <v>95</v>
      </c>
      <c r="F11">
        <f>Assessment1_Marks!$E$5</f>
        <v>80</v>
      </c>
    </row>
    <row r="12" spans="1:6" hidden="1" outlineLevel="1" collapsed="1">
      <c r="B12" t="s">
        <v>3669</v>
      </c>
      <c r="C12">
        <f>Assessment2_Marks!$E$5</f>
        <v>88</v>
      </c>
      <c r="D12">
        <f>Assessment2_Marks!$D$5</f>
        <v>96</v>
      </c>
      <c r="E12">
        <f>Assessment2_Marks!$B$5</f>
        <v>99</v>
      </c>
      <c r="F12">
        <f>Assessment2_Marks!$C$5</f>
        <v>80</v>
      </c>
    </row>
    <row r="13" spans="1:6" collapsed="1">
      <c r="A13" t="s">
        <v>3686</v>
      </c>
      <c r="C13">
        <f>MAX(C11:C12)</f>
        <v>99</v>
      </c>
      <c r="D13">
        <f>MAX(D11:D12)</f>
        <v>96</v>
      </c>
      <c r="E13">
        <f>MAX(E11:E12)</f>
        <v>99</v>
      </c>
      <c r="F13">
        <f>MAX(F11:F12)</f>
        <v>80</v>
      </c>
    </row>
    <row r="14" spans="1:6" hidden="1" outlineLevel="1">
      <c r="B14" t="s">
        <v>3669</v>
      </c>
      <c r="C14">
        <f>Assessment1_Marks!$B$6</f>
        <v>100</v>
      </c>
      <c r="D14">
        <f>Assessment1_Marks!$C$6</f>
        <v>94</v>
      </c>
      <c r="E14">
        <f>Assessment1_Marks!$D$6</f>
        <v>99</v>
      </c>
      <c r="F14">
        <f>Assessment1_Marks!$E$6</f>
        <v>81</v>
      </c>
    </row>
    <row r="15" spans="1:6" hidden="1" outlineLevel="1" collapsed="1">
      <c r="B15" t="s">
        <v>3669</v>
      </c>
      <c r="C15">
        <f>Assessment2_Marks!$E$6</f>
        <v>95</v>
      </c>
      <c r="D15">
        <f>Assessment2_Marks!$D$6</f>
        <v>99</v>
      </c>
      <c r="E15">
        <f>Assessment2_Marks!$B$6</f>
        <v>86</v>
      </c>
      <c r="F15">
        <f>Assessment2_Marks!$C$6</f>
        <v>84</v>
      </c>
    </row>
    <row r="16" spans="1:6" collapsed="1">
      <c r="A16" t="s">
        <v>3687</v>
      </c>
      <c r="C16">
        <f>MAX(C14:C15)</f>
        <v>100</v>
      </c>
      <c r="D16">
        <f>MAX(D14:D15)</f>
        <v>99</v>
      </c>
      <c r="E16">
        <f>MAX(E14:E15)</f>
        <v>99</v>
      </c>
      <c r="F16">
        <f>MAX(F14:F15)</f>
        <v>84</v>
      </c>
    </row>
    <row r="17" spans="1:6" hidden="1" outlineLevel="1">
      <c r="B17" t="s">
        <v>3669</v>
      </c>
      <c r="C17">
        <f>Assessment1_Marks!$B$7</f>
        <v>88</v>
      </c>
      <c r="D17">
        <f>Assessment1_Marks!$C$7</f>
        <v>92</v>
      </c>
      <c r="E17">
        <f>Assessment1_Marks!$D$7</f>
        <v>94</v>
      </c>
      <c r="F17">
        <f>Assessment1_Marks!$E$7</f>
        <v>89</v>
      </c>
    </row>
    <row r="18" spans="1:6" hidden="1" outlineLevel="1" collapsed="1">
      <c r="B18" t="s">
        <v>3669</v>
      </c>
      <c r="C18">
        <f>Assessment2_Marks!$E$7</f>
        <v>90</v>
      </c>
      <c r="D18">
        <f>Assessment2_Marks!$D$7</f>
        <v>98</v>
      </c>
      <c r="E18">
        <f>Assessment2_Marks!$B$7</f>
        <v>88</v>
      </c>
      <c r="F18">
        <f>Assessment2_Marks!$C$7</f>
        <v>95</v>
      </c>
    </row>
    <row r="19" spans="1:6" collapsed="1">
      <c r="A19" t="s">
        <v>3688</v>
      </c>
      <c r="C19">
        <f>MAX(C17:C18)</f>
        <v>90</v>
      </c>
      <c r="D19">
        <f>MAX(D17:D18)</f>
        <v>98</v>
      </c>
      <c r="E19">
        <f>MAX(E17:E18)</f>
        <v>94</v>
      </c>
      <c r="F19">
        <f>MAX(F17:F18)</f>
        <v>95</v>
      </c>
    </row>
    <row r="20" spans="1:6" hidden="1" outlineLevel="1">
      <c r="B20" t="s">
        <v>3669</v>
      </c>
      <c r="C20">
        <f>Assessment1_Marks!$B$8</f>
        <v>89</v>
      </c>
      <c r="D20">
        <f>Assessment1_Marks!$C$8</f>
        <v>91</v>
      </c>
      <c r="E20">
        <f>Assessment1_Marks!$D$8</f>
        <v>85</v>
      </c>
      <c r="F20">
        <f>Assessment1_Marks!$E$8</f>
        <v>94</v>
      </c>
    </row>
    <row r="21" spans="1:6" hidden="1" outlineLevel="1" collapsed="1">
      <c r="B21" t="s">
        <v>3669</v>
      </c>
      <c r="C21">
        <f>Assessment2_Marks!$E$8</f>
        <v>94</v>
      </c>
      <c r="D21">
        <f>Assessment2_Marks!$D$8</f>
        <v>75</v>
      </c>
      <c r="E21">
        <f>Assessment2_Marks!$B$8</f>
        <v>95</v>
      </c>
      <c r="F21">
        <f>Assessment2_Marks!$C$8</f>
        <v>90</v>
      </c>
    </row>
    <row r="22" spans="1:6" collapsed="1">
      <c r="A22" t="s">
        <v>3689</v>
      </c>
      <c r="C22">
        <f>MAX(C20:C21)</f>
        <v>94</v>
      </c>
      <c r="D22">
        <f>MAX(D20:D21)</f>
        <v>91</v>
      </c>
      <c r="E22">
        <f>MAX(E20:E21)</f>
        <v>95</v>
      </c>
      <c r="F22">
        <f>MAX(F20:F21)</f>
        <v>94</v>
      </c>
    </row>
    <row r="23" spans="1:6" hidden="1" outlineLevel="1">
      <c r="B23" t="s">
        <v>3669</v>
      </c>
      <c r="C23">
        <f>Assessment1_Marks!$B$9</f>
        <v>75</v>
      </c>
      <c r="D23">
        <f>Assessment1_Marks!$C$9</f>
        <v>90</v>
      </c>
      <c r="E23">
        <f>Assessment1_Marks!$D$9</f>
        <v>80</v>
      </c>
      <c r="F23">
        <f>Assessment1_Marks!$E$9</f>
        <v>95</v>
      </c>
    </row>
    <row r="24" spans="1:6" hidden="1" outlineLevel="1" collapsed="1">
      <c r="B24" t="s">
        <v>3669</v>
      </c>
      <c r="C24">
        <f>Assessment2_Marks!$E$9</f>
        <v>95</v>
      </c>
      <c r="D24">
        <f>Assessment2_Marks!$D$9</f>
        <v>88</v>
      </c>
      <c r="E24">
        <f>Assessment2_Marks!$B$9</f>
        <v>83</v>
      </c>
      <c r="F24">
        <f>Assessment2_Marks!$C$9</f>
        <v>100</v>
      </c>
    </row>
    <row r="25" spans="1:6" collapsed="1">
      <c r="A25" t="s">
        <v>3690</v>
      </c>
      <c r="C25">
        <f>MAX(C23:C24)</f>
        <v>95</v>
      </c>
      <c r="D25">
        <f>MAX(D23:D24)</f>
        <v>90</v>
      </c>
      <c r="E25">
        <f>MAX(E23:E24)</f>
        <v>83</v>
      </c>
      <c r="F25">
        <f>MAX(F23:F24)</f>
        <v>100</v>
      </c>
    </row>
    <row r="26" spans="1:6" hidden="1" outlineLevel="1">
      <c r="B26" t="s">
        <v>3669</v>
      </c>
      <c r="C26">
        <f>Assessment1_Marks!$B$10</f>
        <v>55</v>
      </c>
      <c r="D26">
        <f>Assessment1_Marks!$C$10</f>
        <v>97</v>
      </c>
      <c r="E26">
        <f>Assessment1_Marks!$D$10</f>
        <v>86</v>
      </c>
      <c r="F26">
        <f>Assessment1_Marks!$E$10</f>
        <v>73</v>
      </c>
    </row>
    <row r="27" spans="1:6" hidden="1" outlineLevel="1" collapsed="1">
      <c r="B27" t="s">
        <v>3669</v>
      </c>
      <c r="C27">
        <f>Assessment2_Marks!$E$10</f>
        <v>76</v>
      </c>
      <c r="D27">
        <f>Assessment2_Marks!$D$10</f>
        <v>70</v>
      </c>
      <c r="E27">
        <f>Assessment2_Marks!$B$10</f>
        <v>94</v>
      </c>
      <c r="F27">
        <f>Assessment2_Marks!$C$10</f>
        <v>96</v>
      </c>
    </row>
    <row r="28" spans="1:6" collapsed="1">
      <c r="A28" t="s">
        <v>3691</v>
      </c>
      <c r="C28">
        <f>MAX(C26:C27)</f>
        <v>76</v>
      </c>
      <c r="D28">
        <f>MAX(D26:D27)</f>
        <v>97</v>
      </c>
      <c r="E28">
        <f>MAX(E26:E27)</f>
        <v>94</v>
      </c>
      <c r="F28">
        <f>MAX(F26:F27)</f>
        <v>96</v>
      </c>
    </row>
    <row r="29" spans="1:6" hidden="1" outlineLevel="1">
      <c r="B29" t="s">
        <v>3669</v>
      </c>
      <c r="C29">
        <f>Assessment1_Marks!$B$11</f>
        <v>84</v>
      </c>
      <c r="D29">
        <f>Assessment1_Marks!$C$11</f>
        <v>99</v>
      </c>
      <c r="E29">
        <f>Assessment1_Marks!$D$11</f>
        <v>92</v>
      </c>
      <c r="F29">
        <f>Assessment1_Marks!$E$11</f>
        <v>77</v>
      </c>
    </row>
    <row r="30" spans="1:6" hidden="1" outlineLevel="1" collapsed="1">
      <c r="B30" t="s">
        <v>3669</v>
      </c>
      <c r="C30">
        <f>Assessment2_Marks!$E$11</f>
        <v>74</v>
      </c>
      <c r="D30">
        <f>Assessment2_Marks!$D$11</f>
        <v>100</v>
      </c>
      <c r="E30">
        <f>Assessment2_Marks!$B$11</f>
        <v>93</v>
      </c>
      <c r="F30">
        <f>Assessment2_Marks!$C$11</f>
        <v>81</v>
      </c>
    </row>
    <row r="31" spans="1:6" collapsed="1">
      <c r="A31" t="s">
        <v>3692</v>
      </c>
      <c r="C31">
        <f>MAX(C29:C30)</f>
        <v>84</v>
      </c>
      <c r="D31">
        <f>MAX(D29:D30)</f>
        <v>100</v>
      </c>
      <c r="E31">
        <f>MAX(E29:E30)</f>
        <v>93</v>
      </c>
      <c r="F31">
        <f>MAX(F29:F30)</f>
        <v>81</v>
      </c>
    </row>
  </sheetData>
  <dataConsolidate function="max" topLabels="1">
    <dataRefs count="2">
      <dataRef ref="A1:E11" sheet="Assessment1_Marks"/>
      <dataRef ref="A1:E11" sheet="Assessment2_Marks"/>
    </dataRefs>
  </dataConsolidate>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AF1-3CB4-4861-AF28-8FE394F6368C}">
  <sheetPr codeName="Sheet417"/>
  <dimension ref="A1:D6"/>
  <sheetViews>
    <sheetView workbookViewId="0"/>
  </sheetViews>
  <sheetFormatPr defaultRowHeight="14.4"/>
  <cols>
    <col min="1" max="1" width="25.44140625" style="14" bestFit="1" customWidth="1"/>
    <col min="2" max="2" width="16.5546875" bestFit="1" customWidth="1"/>
    <col min="3" max="3" width="16.88671875" bestFit="1" customWidth="1"/>
    <col min="4" max="4" width="17.44140625" bestFit="1" customWidth="1"/>
  </cols>
  <sheetData>
    <row r="1" spans="1:4">
      <c r="A1" s="1" t="s">
        <v>75</v>
      </c>
      <c r="B1" s="1" t="s">
        <v>3693</v>
      </c>
      <c r="C1" s="1" t="s">
        <v>3694</v>
      </c>
      <c r="D1" s="1" t="s">
        <v>3695</v>
      </c>
    </row>
    <row r="2" spans="1:4">
      <c r="A2" s="2" t="s">
        <v>3696</v>
      </c>
      <c r="B2" s="2">
        <v>200</v>
      </c>
      <c r="C2" s="2">
        <v>250</v>
      </c>
      <c r="D2" s="2">
        <v>290</v>
      </c>
    </row>
    <row r="3" spans="1:4">
      <c r="A3" s="2" t="s">
        <v>1978</v>
      </c>
      <c r="B3" s="2">
        <v>150</v>
      </c>
      <c r="C3" s="2">
        <v>100</v>
      </c>
      <c r="D3" s="2">
        <v>190</v>
      </c>
    </row>
    <row r="4" spans="1:4">
      <c r="A4" s="2" t="s">
        <v>3697</v>
      </c>
      <c r="B4" s="2">
        <v>140</v>
      </c>
      <c r="C4" s="2">
        <v>200</v>
      </c>
      <c r="D4" s="2">
        <v>190</v>
      </c>
    </row>
    <row r="5" spans="1:4">
      <c r="A5" s="2" t="s">
        <v>3113</v>
      </c>
      <c r="B5" s="2">
        <v>210</v>
      </c>
      <c r="C5" s="2">
        <v>250</v>
      </c>
      <c r="D5" s="2">
        <v>300</v>
      </c>
    </row>
    <row r="6" spans="1:4">
      <c r="A6" s="2" t="s">
        <v>3698</v>
      </c>
      <c r="B6" s="2">
        <v>110</v>
      </c>
      <c r="C6" s="2">
        <v>150</v>
      </c>
      <c r="D6" s="2">
        <v>210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0A2A-C20E-4263-A37A-4FAC752C0C52}">
  <sheetPr codeName="Sheet418"/>
  <dimension ref="A1:D6"/>
  <sheetViews>
    <sheetView workbookViewId="0"/>
  </sheetViews>
  <sheetFormatPr defaultRowHeight="14.4"/>
  <cols>
    <col min="1" max="1" width="25.44140625" bestFit="1" customWidth="1"/>
    <col min="2" max="2" width="16.5546875" bestFit="1" customWidth="1"/>
    <col min="3" max="3" width="16.88671875" bestFit="1" customWidth="1"/>
    <col min="4" max="4" width="17.44140625" bestFit="1" customWidth="1"/>
  </cols>
  <sheetData>
    <row r="1" spans="1:4">
      <c r="A1" s="1" t="s">
        <v>75</v>
      </c>
      <c r="B1" s="1" t="s">
        <v>3693</v>
      </c>
      <c r="C1" s="1" t="s">
        <v>3694</v>
      </c>
      <c r="D1" s="1" t="s">
        <v>3695</v>
      </c>
    </row>
    <row r="2" spans="1:4">
      <c r="A2" s="2" t="s">
        <v>3696</v>
      </c>
      <c r="B2" s="2">
        <v>210</v>
      </c>
      <c r="C2" s="2">
        <v>240</v>
      </c>
      <c r="D2" s="2">
        <v>300</v>
      </c>
    </row>
    <row r="3" spans="1:4">
      <c r="A3" s="2" t="s">
        <v>1978</v>
      </c>
      <c r="B3" s="2">
        <v>150</v>
      </c>
      <c r="C3" s="2">
        <v>200</v>
      </c>
      <c r="D3" s="2">
        <v>250</v>
      </c>
    </row>
    <row r="4" spans="1:4">
      <c r="A4" s="2" t="s">
        <v>3697</v>
      </c>
      <c r="B4" s="2">
        <v>300</v>
      </c>
      <c r="C4" s="2">
        <v>350</v>
      </c>
      <c r="D4" s="2">
        <v>250</v>
      </c>
    </row>
    <row r="5" spans="1:4">
      <c r="A5" s="2" t="s">
        <v>3113</v>
      </c>
      <c r="B5" s="2">
        <v>100</v>
      </c>
      <c r="C5" s="2">
        <v>90</v>
      </c>
      <c r="D5" s="2">
        <v>50</v>
      </c>
    </row>
    <row r="6" spans="1:4">
      <c r="A6" s="2" t="s">
        <v>3698</v>
      </c>
      <c r="B6" s="2">
        <v>200</v>
      </c>
      <c r="C6" s="2">
        <v>210</v>
      </c>
      <c r="D6" s="2">
        <v>250</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874-9DE7-4C95-AF1C-CEB87696DA17}">
  <sheetPr codeName="Sheet419"/>
  <dimension ref="A1:D6"/>
  <sheetViews>
    <sheetView workbookViewId="0"/>
  </sheetViews>
  <sheetFormatPr defaultRowHeight="14.4"/>
  <cols>
    <col min="1" max="1" width="25.44140625" bestFit="1" customWidth="1"/>
    <col min="2" max="2" width="23.109375" bestFit="1" customWidth="1"/>
    <col min="3" max="3" width="23.44140625" bestFit="1" customWidth="1"/>
    <col min="4" max="4" width="23.88671875" bestFit="1" customWidth="1"/>
  </cols>
  <sheetData>
    <row r="1" spans="1:4">
      <c r="A1" s="1" t="s">
        <v>75</v>
      </c>
      <c r="B1" s="1" t="s">
        <v>3699</v>
      </c>
      <c r="C1" s="1" t="s">
        <v>3700</v>
      </c>
      <c r="D1" s="1" t="s">
        <v>3701</v>
      </c>
    </row>
    <row r="2" spans="1:4">
      <c r="A2" s="2" t="s">
        <v>3696</v>
      </c>
      <c r="B2" s="2">
        <v>410</v>
      </c>
      <c r="C2" s="2">
        <v>490</v>
      </c>
      <c r="D2" s="2">
        <v>590</v>
      </c>
    </row>
    <row r="3" spans="1:4">
      <c r="A3" s="2" t="s">
        <v>1978</v>
      </c>
      <c r="B3" s="2">
        <v>300</v>
      </c>
      <c r="C3" s="2">
        <v>300</v>
      </c>
      <c r="D3" s="2">
        <v>440</v>
      </c>
    </row>
    <row r="4" spans="1:4">
      <c r="A4" s="2" t="s">
        <v>3697</v>
      </c>
      <c r="B4" s="2">
        <v>440</v>
      </c>
      <c r="C4" s="2">
        <v>550</v>
      </c>
      <c r="D4" s="2">
        <v>440</v>
      </c>
    </row>
    <row r="5" spans="1:4">
      <c r="A5" s="2" t="s">
        <v>3113</v>
      </c>
      <c r="B5" s="2">
        <v>310</v>
      </c>
      <c r="C5" s="2">
        <v>340</v>
      </c>
      <c r="D5" s="2">
        <v>350</v>
      </c>
    </row>
    <row r="6" spans="1:4">
      <c r="A6" s="2" t="s">
        <v>3698</v>
      </c>
      <c r="B6" s="2">
        <v>310</v>
      </c>
      <c r="C6" s="2">
        <v>360</v>
      </c>
      <c r="D6" s="2">
        <v>460</v>
      </c>
    </row>
  </sheetData>
  <dataConsolidate>
    <dataRefs count="2">
      <dataRef ref="D2:D6" sheet="Dealer1_Order Data"/>
      <dataRef ref="D2:D6" sheet="Dealer2_Order Data"/>
    </dataRefs>
  </dataConsolidate>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04BB-CF70-45DC-BFF1-2BBC2B843889}">
  <sheetPr codeName="Sheet420"/>
  <dimension ref="A1:B6"/>
  <sheetViews>
    <sheetView workbookViewId="0"/>
  </sheetViews>
  <sheetFormatPr defaultRowHeight="14.4"/>
  <cols>
    <col min="1" max="2" width="11.109375" customWidth="1"/>
  </cols>
  <sheetData>
    <row r="1" spans="1:2">
      <c r="A1" s="1" t="s">
        <v>153</v>
      </c>
      <c r="B1" s="1" t="s">
        <v>1727</v>
      </c>
    </row>
    <row r="2" spans="1:2">
      <c r="A2" s="2" t="s">
        <v>3607</v>
      </c>
      <c r="B2" s="2">
        <v>10</v>
      </c>
    </row>
    <row r="3" spans="1:2">
      <c r="A3" s="2" t="s">
        <v>3608</v>
      </c>
      <c r="B3" s="2">
        <v>20</v>
      </c>
    </row>
    <row r="4" spans="1:2">
      <c r="A4" s="2" t="s">
        <v>3609</v>
      </c>
      <c r="B4" s="2">
        <v>30</v>
      </c>
    </row>
    <row r="5" spans="1:2">
      <c r="A5" s="2" t="s">
        <v>3702</v>
      </c>
      <c r="B5" s="2">
        <v>40</v>
      </c>
    </row>
    <row r="6" spans="1:2">
      <c r="A6" s="2" t="s">
        <v>3703</v>
      </c>
      <c r="B6" s="2">
        <v>50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2595-DE34-475F-B7AB-66A636BC8098}">
  <sheetPr codeName="Sheet421"/>
  <dimension ref="A1:C2"/>
  <sheetViews>
    <sheetView workbookViewId="0"/>
  </sheetViews>
  <sheetFormatPr defaultRowHeight="14.4"/>
  <cols>
    <col min="1" max="1" width="8.6640625" customWidth="1"/>
    <col min="2" max="3" width="14.5546875" customWidth="1"/>
  </cols>
  <sheetData>
    <row r="1" spans="1:3">
      <c r="A1" s="1" t="s">
        <v>670</v>
      </c>
      <c r="B1" s="1" t="s">
        <v>3704</v>
      </c>
      <c r="C1" s="1" t="s">
        <v>3705</v>
      </c>
    </row>
    <row r="2" spans="1:3">
      <c r="A2" s="185">
        <v>44613</v>
      </c>
      <c r="B2" s="2">
        <v>10</v>
      </c>
      <c r="C2" s="2">
        <v>25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BF28-8D0C-4509-BFD7-D0669718D4FE}">
  <sheetPr codeName="Sheet422"/>
  <dimension ref="A1:C2"/>
  <sheetViews>
    <sheetView workbookViewId="0"/>
  </sheetViews>
  <sheetFormatPr defaultRowHeight="14.4"/>
  <cols>
    <col min="2" max="3" width="14.5546875" customWidth="1"/>
  </cols>
  <sheetData>
    <row r="1" spans="1:3">
      <c r="A1" s="1" t="s">
        <v>670</v>
      </c>
      <c r="B1" s="1" t="s">
        <v>3704</v>
      </c>
      <c r="C1" s="1" t="s">
        <v>3705</v>
      </c>
    </row>
    <row r="2" spans="1:3">
      <c r="A2" s="185">
        <v>44613</v>
      </c>
      <c r="B2" s="2">
        <v>12</v>
      </c>
      <c r="C2" s="2">
        <v>27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D36A3-2CA6-4DBF-8D06-46094CBC936A}">
  <sheetPr codeName="Sheet423"/>
  <dimension ref="A1:C2"/>
  <sheetViews>
    <sheetView workbookViewId="0"/>
  </sheetViews>
  <sheetFormatPr defaultRowHeight="14.4"/>
  <cols>
    <col min="2" max="2" width="20.88671875" bestFit="1" customWidth="1"/>
    <col min="3" max="3" width="21.44140625" bestFit="1" customWidth="1"/>
  </cols>
  <sheetData>
    <row r="1" spans="1:3">
      <c r="A1" s="1" t="s">
        <v>670</v>
      </c>
      <c r="B1" s="1" t="s">
        <v>3706</v>
      </c>
      <c r="C1" s="1" t="s">
        <v>3707</v>
      </c>
    </row>
    <row r="2" spans="1:3">
      <c r="A2" s="185">
        <v>44613</v>
      </c>
      <c r="B2" s="7">
        <v>11</v>
      </c>
      <c r="C2" s="7">
        <v>26</v>
      </c>
    </row>
  </sheetData>
  <dataConsolidate function="average">
    <dataRefs count="2">
      <dataRef ref="B2:C2" sheet="2021_Day Temperature"/>
      <dataRef ref="B2:C2" sheet="2022_Day Temperature"/>
    </dataRefs>
  </dataConsolidate>
  <pageMargins left="0.7" right="0.7" top="0.75" bottom="0.75" header="0.3" footer="0.3"/>
  <pageSetup orientation="portrait" horizontalDpi="4294967293" verticalDpi="0"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A71D-044F-4A9F-9252-393C33535E67}">
  <sheetPr codeName="Sheet424"/>
  <dimension ref="A1:E8"/>
  <sheetViews>
    <sheetView workbookViewId="0">
      <selection activeCell="D2" sqref="D2"/>
    </sheetView>
  </sheetViews>
  <sheetFormatPr defaultRowHeight="14.4"/>
  <cols>
    <col min="1" max="1" width="10.44140625" bestFit="1" customWidth="1"/>
    <col min="2" max="2" width="11.6640625" customWidth="1"/>
    <col min="3" max="3" width="26.5546875" bestFit="1" customWidth="1"/>
    <col min="4" max="4" width="25.5546875" bestFit="1" customWidth="1"/>
    <col min="5" max="5" width="33.44140625" bestFit="1" customWidth="1"/>
  </cols>
  <sheetData>
    <row r="1" spans="1:5">
      <c r="A1" s="1" t="s">
        <v>670</v>
      </c>
      <c r="B1" s="1" t="s">
        <v>108</v>
      </c>
      <c r="C1" s="1" t="s">
        <v>3711</v>
      </c>
      <c r="D1" s="1" t="s">
        <v>3710</v>
      </c>
      <c r="E1" s="1" t="s">
        <v>1977</v>
      </c>
    </row>
    <row r="2" spans="1:5">
      <c r="A2" s="20">
        <v>44571</v>
      </c>
      <c r="B2" s="110">
        <f>A2</f>
        <v>44571</v>
      </c>
      <c r="C2" s="2" t="s">
        <v>3748</v>
      </c>
      <c r="D2" s="7">
        <f>WEEKNUM(A2)</f>
        <v>3</v>
      </c>
      <c r="E2" s="55" t="s">
        <v>3724</v>
      </c>
    </row>
    <row r="3" spans="1:5">
      <c r="A3" s="20">
        <v>44602</v>
      </c>
      <c r="B3" s="110">
        <f t="shared" ref="B3:B8" si="0">A3</f>
        <v>44602</v>
      </c>
      <c r="C3" s="2" t="s">
        <v>3712</v>
      </c>
      <c r="D3" s="7">
        <f>WEEKNUM(A3,2)</f>
        <v>7</v>
      </c>
      <c r="E3" s="55" t="s">
        <v>3718</v>
      </c>
    </row>
    <row r="4" spans="1:5">
      <c r="A4" s="20">
        <v>44636</v>
      </c>
      <c r="B4" s="110">
        <f t="shared" si="0"/>
        <v>44636</v>
      </c>
      <c r="C4" s="2" t="s">
        <v>3713</v>
      </c>
      <c r="D4" s="7">
        <f>WEEKNUM(A4,12)</f>
        <v>12</v>
      </c>
      <c r="E4" s="55" t="s">
        <v>3719</v>
      </c>
    </row>
    <row r="5" spans="1:5">
      <c r="A5" s="20">
        <v>44661</v>
      </c>
      <c r="B5" s="110">
        <f t="shared" si="0"/>
        <v>44661</v>
      </c>
      <c r="C5" s="2" t="s">
        <v>3714</v>
      </c>
      <c r="D5" s="7">
        <f>WEEKNUM(A5,13)</f>
        <v>15</v>
      </c>
      <c r="E5" s="55" t="s">
        <v>3720</v>
      </c>
    </row>
    <row r="6" spans="1:5">
      <c r="A6" s="20">
        <v>44691</v>
      </c>
      <c r="B6" s="110">
        <f t="shared" si="0"/>
        <v>44691</v>
      </c>
      <c r="C6" s="2" t="s">
        <v>3715</v>
      </c>
      <c r="D6" s="7">
        <f>WEEKNUM(A6,14)</f>
        <v>19</v>
      </c>
      <c r="E6" s="55" t="s">
        <v>3721</v>
      </c>
    </row>
    <row r="7" spans="1:5">
      <c r="A7" s="20">
        <v>44722</v>
      </c>
      <c r="B7" s="110">
        <f t="shared" si="0"/>
        <v>44722</v>
      </c>
      <c r="C7" s="2" t="s">
        <v>3716</v>
      </c>
      <c r="D7" s="7">
        <f>WEEKNUM(A7,15)</f>
        <v>24</v>
      </c>
      <c r="E7" s="55" t="s">
        <v>3722</v>
      </c>
    </row>
    <row r="8" spans="1:5">
      <c r="A8" s="20">
        <v>44751</v>
      </c>
      <c r="B8" s="110">
        <f t="shared" si="0"/>
        <v>44751</v>
      </c>
      <c r="C8" s="2" t="s">
        <v>3717</v>
      </c>
      <c r="D8" s="7">
        <f>WEEKNUM(A8,16)</f>
        <v>28</v>
      </c>
      <c r="E8" s="55" t="s">
        <v>3723</v>
      </c>
    </row>
  </sheetData>
  <pageMargins left="0.7" right="0.7" top="0.75" bottom="0.75" header="0.3" footer="0.3"/>
  <pageSetup orientation="portrait" horizontalDpi="4294967293" verticalDpi="0"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0C2-F286-4BAA-A591-078B84A98469}">
  <sheetPr codeName="Sheet425"/>
  <dimension ref="C1:K16"/>
  <sheetViews>
    <sheetView workbookViewId="0">
      <selection activeCell="D2" sqref="D2"/>
    </sheetView>
  </sheetViews>
  <sheetFormatPr defaultRowHeight="14.4"/>
  <cols>
    <col min="3" max="3" width="11.109375" customWidth="1"/>
    <col min="4" max="4" width="19.44140625" bestFit="1" customWidth="1"/>
    <col min="5" max="5" width="7.5546875" customWidth="1"/>
    <col min="10" max="10" width="6.88671875" bestFit="1" customWidth="1"/>
    <col min="11" max="11" width="48.44140625" bestFit="1" customWidth="1"/>
  </cols>
  <sheetData>
    <row r="1" spans="3:11" ht="15" thickBot="1"/>
    <row r="2" spans="3:11" ht="15" thickBot="1">
      <c r="C2" s="162" t="s">
        <v>3734</v>
      </c>
      <c r="D2" s="172" t="s">
        <v>3730</v>
      </c>
      <c r="E2" s="163" t="s">
        <v>3725</v>
      </c>
    </row>
    <row r="3" spans="3:11">
      <c r="C3" s="161" t="s">
        <v>3726</v>
      </c>
      <c r="D3" s="61" t="s">
        <v>1514</v>
      </c>
      <c r="E3" s="173">
        <v>1</v>
      </c>
    </row>
    <row r="4" spans="3:11">
      <c r="C4" s="157">
        <v>2</v>
      </c>
      <c r="D4" s="2" t="s">
        <v>2272</v>
      </c>
      <c r="E4" s="159">
        <v>1</v>
      </c>
    </row>
    <row r="5" spans="3:11">
      <c r="C5" s="157">
        <v>11</v>
      </c>
      <c r="D5" s="2" t="s">
        <v>2272</v>
      </c>
      <c r="E5" s="159">
        <v>1</v>
      </c>
    </row>
    <row r="6" spans="3:11">
      <c r="C6" s="157">
        <v>12</v>
      </c>
      <c r="D6" s="2" t="s">
        <v>3727</v>
      </c>
      <c r="E6" s="159">
        <v>1</v>
      </c>
    </row>
    <row r="7" spans="3:11">
      <c r="C7" s="157">
        <v>13</v>
      </c>
      <c r="D7" s="2" t="s">
        <v>3728</v>
      </c>
      <c r="E7" s="159">
        <v>1</v>
      </c>
    </row>
    <row r="8" spans="3:11">
      <c r="C8" s="157">
        <v>14</v>
      </c>
      <c r="D8" s="2" t="s">
        <v>2273</v>
      </c>
      <c r="E8" s="159">
        <v>1</v>
      </c>
    </row>
    <row r="9" spans="3:11">
      <c r="C9" s="157">
        <v>15</v>
      </c>
      <c r="D9" s="2" t="s">
        <v>3729</v>
      </c>
      <c r="E9" s="159">
        <v>1</v>
      </c>
    </row>
    <row r="10" spans="3:11">
      <c r="C10" s="157">
        <v>16</v>
      </c>
      <c r="D10" s="2" t="s">
        <v>1513</v>
      </c>
      <c r="E10" s="159">
        <v>1</v>
      </c>
    </row>
    <row r="11" spans="3:11">
      <c r="C11" s="157">
        <v>17</v>
      </c>
      <c r="D11" s="2" t="s">
        <v>1514</v>
      </c>
      <c r="E11" s="159">
        <v>1</v>
      </c>
    </row>
    <row r="12" spans="3:11" ht="15" thickBot="1">
      <c r="C12" s="174">
        <v>21</v>
      </c>
      <c r="D12" s="171" t="s">
        <v>2272</v>
      </c>
      <c r="E12" s="168">
        <v>2</v>
      </c>
    </row>
    <row r="13" spans="3:11" ht="15" thickBot="1"/>
    <row r="14" spans="3:11">
      <c r="J14" s="230" t="s">
        <v>3725</v>
      </c>
      <c r="K14" s="231" t="s">
        <v>3731</v>
      </c>
    </row>
    <row r="15" spans="3:11">
      <c r="J15" s="157">
        <v>1</v>
      </c>
      <c r="K15" s="232" t="s">
        <v>3732</v>
      </c>
    </row>
    <row r="16" spans="3:11" ht="43.8" thickBot="1">
      <c r="J16" s="234">
        <v>2</v>
      </c>
      <c r="K16" s="233" t="s">
        <v>3733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6EBD2-5889-4C48-A34F-577AE4D54C69}">
  <sheetPr codeName="Sheet426"/>
  <dimension ref="A1:E7"/>
  <sheetViews>
    <sheetView workbookViewId="0">
      <selection activeCell="D2" sqref="D2"/>
    </sheetView>
  </sheetViews>
  <sheetFormatPr defaultRowHeight="14.4"/>
  <cols>
    <col min="1" max="1" width="28.5546875" bestFit="1" customWidth="1"/>
    <col min="2" max="2" width="9.44140625" bestFit="1" customWidth="1"/>
    <col min="3" max="3" width="6.88671875" bestFit="1" customWidth="1"/>
    <col min="4" max="4" width="14.44140625" bestFit="1" customWidth="1"/>
    <col min="5" max="5" width="13" bestFit="1" customWidth="1"/>
  </cols>
  <sheetData>
    <row r="1" spans="1:5">
      <c r="A1" s="1" t="s">
        <v>622</v>
      </c>
      <c r="B1" s="1" t="s">
        <v>670</v>
      </c>
      <c r="C1" s="1" t="s">
        <v>3725</v>
      </c>
      <c r="D1" s="1" t="s">
        <v>3709</v>
      </c>
      <c r="E1" s="1" t="s">
        <v>3708</v>
      </c>
    </row>
    <row r="2" spans="1:5">
      <c r="A2" s="2" t="s">
        <v>3735</v>
      </c>
      <c r="B2" s="2"/>
      <c r="C2" s="2">
        <v>1</v>
      </c>
      <c r="D2" s="2" t="s">
        <v>2273</v>
      </c>
      <c r="E2" s="7">
        <f>WEEKNUM(DATE(2022,4,13),14)</f>
        <v>15</v>
      </c>
    </row>
    <row r="3" spans="1:5">
      <c r="A3" s="2" t="s">
        <v>3738</v>
      </c>
      <c r="B3" s="20">
        <v>43568</v>
      </c>
      <c r="C3" s="2">
        <v>1</v>
      </c>
      <c r="D3" s="2" t="s">
        <v>3728</v>
      </c>
      <c r="E3" s="7">
        <f>WEEKNUM(B3,13)</f>
        <v>16</v>
      </c>
    </row>
    <row r="4" spans="1:5">
      <c r="A4" s="2" t="s">
        <v>3736</v>
      </c>
      <c r="B4" s="2"/>
      <c r="C4" s="2">
        <v>2</v>
      </c>
      <c r="D4" s="2" t="s">
        <v>2272</v>
      </c>
      <c r="E4" s="7">
        <f>WEEKNUM("13-Apr-2024",21)</f>
        <v>15</v>
      </c>
    </row>
    <row r="5" spans="1:5">
      <c r="A5" s="2" t="s">
        <v>3739</v>
      </c>
      <c r="B5" s="109">
        <v>43934</v>
      </c>
      <c r="C5" s="2">
        <v>1</v>
      </c>
      <c r="D5" s="2" t="s">
        <v>1514</v>
      </c>
      <c r="E5" s="7">
        <f>WEEKNUM(B5)</f>
        <v>16</v>
      </c>
    </row>
    <row r="6" spans="1:5">
      <c r="A6" s="2" t="s">
        <v>3737</v>
      </c>
      <c r="B6" s="20">
        <v>46125</v>
      </c>
      <c r="C6" s="2">
        <v>1</v>
      </c>
      <c r="D6" s="2" t="s">
        <v>3729</v>
      </c>
      <c r="E6" s="7">
        <f>WEEKNUM(B6,15)</f>
        <v>16</v>
      </c>
    </row>
    <row r="7" spans="1:5">
      <c r="A7" s="2" t="s">
        <v>3740</v>
      </c>
      <c r="B7" s="55"/>
      <c r="C7" s="2">
        <v>1</v>
      </c>
      <c r="D7" s="2" t="s">
        <v>3727</v>
      </c>
      <c r="E7" s="7">
        <f>WEEKNUM(44299,12)</f>
        <v>16</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608C-722A-435E-AAC3-D42B2849735C}">
  <sheetPr codeName="Sheet427"/>
  <dimension ref="A1:C16"/>
  <sheetViews>
    <sheetView workbookViewId="0">
      <selection activeCell="D2" sqref="D2"/>
    </sheetView>
  </sheetViews>
  <sheetFormatPr defaultRowHeight="14.4"/>
  <cols>
    <col min="2" max="2" width="9.6640625" bestFit="1" customWidth="1"/>
    <col min="3" max="3" width="9.88671875" customWidth="1"/>
  </cols>
  <sheetData>
    <row r="1" spans="1:3">
      <c r="A1" s="1" t="s">
        <v>32</v>
      </c>
      <c r="B1" s="1" t="s">
        <v>670</v>
      </c>
      <c r="C1" s="1" t="s">
        <v>3741</v>
      </c>
    </row>
    <row r="2" spans="1:3">
      <c r="A2" s="2" t="s">
        <v>51</v>
      </c>
      <c r="B2" s="59">
        <v>44682</v>
      </c>
      <c r="C2" s="83">
        <v>50</v>
      </c>
    </row>
    <row r="3" spans="1:3">
      <c r="A3" s="2" t="s">
        <v>51</v>
      </c>
      <c r="B3" s="59">
        <v>44683</v>
      </c>
      <c r="C3" s="83">
        <v>65</v>
      </c>
    </row>
    <row r="4" spans="1:3">
      <c r="A4" s="2" t="s">
        <v>51</v>
      </c>
      <c r="B4" s="59">
        <v>44684</v>
      </c>
      <c r="C4" s="83">
        <v>66</v>
      </c>
    </row>
    <row r="5" spans="1:3">
      <c r="A5" s="2" t="s">
        <v>51</v>
      </c>
      <c r="B5" s="59">
        <v>44685</v>
      </c>
      <c r="C5" s="83">
        <v>48</v>
      </c>
    </row>
    <row r="6" spans="1:3">
      <c r="A6" s="2" t="s">
        <v>51</v>
      </c>
      <c r="B6" s="59">
        <v>44686</v>
      </c>
      <c r="C6" s="83">
        <v>30</v>
      </c>
    </row>
    <row r="7" spans="1:3">
      <c r="A7" s="2" t="s">
        <v>51</v>
      </c>
      <c r="B7" s="59">
        <v>44687</v>
      </c>
      <c r="C7" s="83">
        <v>43</v>
      </c>
    </row>
    <row r="8" spans="1:3">
      <c r="A8" s="2" t="s">
        <v>51</v>
      </c>
      <c r="B8" s="59">
        <v>44688</v>
      </c>
      <c r="C8" s="83">
        <v>40</v>
      </c>
    </row>
    <row r="9" spans="1:3">
      <c r="A9" s="2" t="s">
        <v>51</v>
      </c>
      <c r="B9" s="59">
        <v>44689</v>
      </c>
      <c r="C9" s="83">
        <v>60</v>
      </c>
    </row>
    <row r="10" spans="1:3">
      <c r="A10" s="2" t="s">
        <v>51</v>
      </c>
      <c r="B10" s="59">
        <v>44690</v>
      </c>
      <c r="C10" s="83">
        <v>66</v>
      </c>
    </row>
    <row r="11" spans="1:3">
      <c r="A11" s="2" t="s">
        <v>51</v>
      </c>
      <c r="B11" s="59">
        <v>44691</v>
      </c>
      <c r="C11" s="83">
        <v>70</v>
      </c>
    </row>
    <row r="12" spans="1:3">
      <c r="A12" s="2" t="s">
        <v>51</v>
      </c>
      <c r="B12" s="59">
        <v>44692</v>
      </c>
      <c r="C12" s="83">
        <v>29</v>
      </c>
    </row>
    <row r="13" spans="1:3">
      <c r="A13" s="2" t="s">
        <v>51</v>
      </c>
      <c r="B13" s="59">
        <v>44693</v>
      </c>
      <c r="C13" s="83">
        <v>41</v>
      </c>
    </row>
    <row r="14" spans="1:3">
      <c r="A14" s="2" t="s">
        <v>51</v>
      </c>
      <c r="B14" s="59">
        <v>44694</v>
      </c>
      <c r="C14" s="83">
        <v>55</v>
      </c>
    </row>
    <row r="15" spans="1:3">
      <c r="A15" s="2" t="s">
        <v>51</v>
      </c>
      <c r="B15" s="59">
        <v>44695</v>
      </c>
      <c r="C15" s="83">
        <v>53</v>
      </c>
    </row>
    <row r="16" spans="1:3">
      <c r="A16" s="2" t="s">
        <v>51</v>
      </c>
      <c r="B16" s="59">
        <v>44696</v>
      </c>
      <c r="C16" s="83">
        <v>64</v>
      </c>
    </row>
  </sheetData>
  <conditionalFormatting sqref="A2:C16">
    <cfRule type="expression" dxfId="5" priority="1">
      <formula>WEEKNUM($B2)=19</formula>
    </cfRule>
  </conditionalFormatting>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7021-3A55-4CF5-9A3B-80759262E1A5}">
  <sheetPr codeName="Sheet428"/>
  <dimension ref="A1:C8"/>
  <sheetViews>
    <sheetView workbookViewId="0">
      <selection activeCell="D2" sqref="D2"/>
    </sheetView>
  </sheetViews>
  <sheetFormatPr defaultRowHeight="14.4"/>
  <cols>
    <col min="2" max="2" width="9.44140625" bestFit="1" customWidth="1"/>
    <col min="3" max="3" width="43.5546875" bestFit="1" customWidth="1"/>
  </cols>
  <sheetData>
    <row r="1" spans="1:3">
      <c r="A1" s="1" t="s">
        <v>32</v>
      </c>
      <c r="B1" s="1" t="s">
        <v>670</v>
      </c>
      <c r="C1" s="1" t="s">
        <v>3742</v>
      </c>
    </row>
    <row r="2" spans="1:3">
      <c r="A2" s="2" t="s">
        <v>51</v>
      </c>
      <c r="B2" s="20">
        <v>44682</v>
      </c>
      <c r="C2" s="7">
        <f>WEEKNUM($B2)-WEEKNUM(DATE(YEAR($B2),MONTH($B2),1))+1</f>
        <v>1</v>
      </c>
    </row>
    <row r="3" spans="1:3">
      <c r="A3" s="2" t="s">
        <v>51</v>
      </c>
      <c r="B3" s="20">
        <v>44686</v>
      </c>
      <c r="C3" s="7">
        <f t="shared" ref="C3:C8" si="0">WEEKNUM($B3)-WEEKNUM(DATE(YEAR($B3),MONTH($B3),1))+1</f>
        <v>1</v>
      </c>
    </row>
    <row r="4" spans="1:3">
      <c r="A4" s="2" t="s">
        <v>51</v>
      </c>
      <c r="B4" s="20">
        <v>44691</v>
      </c>
      <c r="C4" s="7">
        <f t="shared" si="0"/>
        <v>2</v>
      </c>
    </row>
    <row r="5" spans="1:3">
      <c r="A5" s="2" t="s">
        <v>51</v>
      </c>
      <c r="B5" s="20">
        <v>44696</v>
      </c>
      <c r="C5" s="7">
        <f t="shared" si="0"/>
        <v>3</v>
      </c>
    </row>
    <row r="6" spans="1:3">
      <c r="A6" s="2" t="s">
        <v>51</v>
      </c>
      <c r="B6" s="20">
        <v>44701</v>
      </c>
      <c r="C6" s="7">
        <f t="shared" si="0"/>
        <v>3</v>
      </c>
    </row>
    <row r="7" spans="1:3">
      <c r="A7" s="2" t="s">
        <v>51</v>
      </c>
      <c r="B7" s="20">
        <v>44706</v>
      </c>
      <c r="C7" s="7">
        <f t="shared" si="0"/>
        <v>4</v>
      </c>
    </row>
    <row r="8" spans="1:3">
      <c r="A8" s="2" t="s">
        <v>51</v>
      </c>
      <c r="B8" s="20">
        <v>44711</v>
      </c>
      <c r="C8" s="7">
        <f t="shared" si="0"/>
        <v>5</v>
      </c>
    </row>
  </sheetData>
  <pageMargins left="0.7" right="0.7" top="0.75" bottom="0.75" header="0.3" footer="0.3"/>
  <pageSetup orientation="portrait" horizontalDpi="4294967293" verticalDpi="0"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3F9D-B43D-4F9B-A45B-70493816DCBF}">
  <sheetPr codeName="Sheet429"/>
  <dimension ref="A1:H10"/>
  <sheetViews>
    <sheetView workbookViewId="0">
      <selection activeCell="D2" sqref="D2"/>
    </sheetView>
  </sheetViews>
  <sheetFormatPr defaultRowHeight="14.4"/>
  <cols>
    <col min="1" max="1" width="13.5546875" bestFit="1" customWidth="1"/>
    <col min="2" max="2" width="14" bestFit="1" customWidth="1"/>
    <col min="3" max="3" width="9.44140625" bestFit="1" customWidth="1"/>
    <col min="8" max="8" width="18.6640625" bestFit="1" customWidth="1"/>
  </cols>
  <sheetData>
    <row r="1" spans="1:8">
      <c r="A1" s="1" t="s">
        <v>387</v>
      </c>
      <c r="B1" s="1" t="s">
        <v>3743</v>
      </c>
      <c r="C1" s="1" t="s">
        <v>3744</v>
      </c>
      <c r="D1" s="1" t="s">
        <v>856</v>
      </c>
      <c r="G1" s="369" t="s">
        <v>3746</v>
      </c>
      <c r="H1" s="369"/>
    </row>
    <row r="2" spans="1:8">
      <c r="A2" s="2" t="s">
        <v>696</v>
      </c>
      <c r="B2" s="83">
        <v>1000</v>
      </c>
      <c r="C2" s="20">
        <v>44621</v>
      </c>
      <c r="D2" s="7">
        <f>WEEKNUM(C2)</f>
        <v>10</v>
      </c>
      <c r="G2" s="1" t="s">
        <v>856</v>
      </c>
      <c r="H2" s="1" t="s">
        <v>3745</v>
      </c>
    </row>
    <row r="3" spans="1:8">
      <c r="A3" s="2" t="s">
        <v>696</v>
      </c>
      <c r="B3" s="83">
        <v>1800</v>
      </c>
      <c r="C3" s="20">
        <v>44630</v>
      </c>
      <c r="D3" s="7">
        <f t="shared" ref="D3:D10" si="0">WEEKNUM(C3)</f>
        <v>11</v>
      </c>
      <c r="G3" s="2">
        <v>10</v>
      </c>
      <c r="H3" s="7">
        <f>SUMIFS($B$2:$B$10,$D$2:$D$10,G3)</f>
        <v>3000</v>
      </c>
    </row>
    <row r="4" spans="1:8">
      <c r="A4" s="2" t="s">
        <v>696</v>
      </c>
      <c r="B4" s="83">
        <v>500</v>
      </c>
      <c r="C4" s="20">
        <v>44640</v>
      </c>
      <c r="D4" s="7">
        <f t="shared" si="0"/>
        <v>13</v>
      </c>
      <c r="G4" s="2">
        <v>11</v>
      </c>
      <c r="H4" s="7">
        <f>SUMIFS($B$2:$B$10,$D$2:$D$10,G4)</f>
        <v>2550</v>
      </c>
    </row>
    <row r="5" spans="1:8">
      <c r="A5" s="2" t="s">
        <v>697</v>
      </c>
      <c r="B5" s="83">
        <v>2000</v>
      </c>
      <c r="C5" s="20">
        <v>44623</v>
      </c>
      <c r="D5" s="7">
        <f t="shared" si="0"/>
        <v>10</v>
      </c>
      <c r="G5" s="2">
        <v>12</v>
      </c>
      <c r="H5" s="7">
        <f>SUMIFS($B$2:$B$10,$D$2:$D$10,G5)</f>
        <v>1500</v>
      </c>
    </row>
    <row r="6" spans="1:8">
      <c r="A6" s="2" t="s">
        <v>697</v>
      </c>
      <c r="B6" s="83">
        <v>750</v>
      </c>
      <c r="C6" s="20">
        <v>44632</v>
      </c>
      <c r="D6" s="7">
        <f t="shared" si="0"/>
        <v>11</v>
      </c>
      <c r="G6" s="2">
        <v>13</v>
      </c>
      <c r="H6" s="7">
        <f>SUMIFS($B$2:$B$10,$D$2:$D$10,G6)</f>
        <v>3000</v>
      </c>
    </row>
    <row r="7" spans="1:8">
      <c r="A7" s="2" t="s">
        <v>697</v>
      </c>
      <c r="B7" s="83">
        <v>2500</v>
      </c>
      <c r="C7" s="20">
        <v>44645</v>
      </c>
      <c r="D7" s="7">
        <f t="shared" si="0"/>
        <v>13</v>
      </c>
      <c r="G7" s="2">
        <v>14</v>
      </c>
      <c r="H7" s="7">
        <f>SUMIFS($B$2:$B$10,$D$2:$D$10,G7)</f>
        <v>4600</v>
      </c>
    </row>
    <row r="8" spans="1:8">
      <c r="A8" s="2" t="s">
        <v>698</v>
      </c>
      <c r="B8" s="83">
        <v>1500</v>
      </c>
      <c r="C8" s="20">
        <v>44638</v>
      </c>
      <c r="D8" s="7">
        <f t="shared" si="0"/>
        <v>12</v>
      </c>
    </row>
    <row r="9" spans="1:8">
      <c r="A9" s="2" t="s">
        <v>698</v>
      </c>
      <c r="B9" s="83">
        <v>2100</v>
      </c>
      <c r="C9" s="20">
        <v>44649</v>
      </c>
      <c r="D9" s="7">
        <f t="shared" si="0"/>
        <v>14</v>
      </c>
    </row>
    <row r="10" spans="1:8">
      <c r="A10" s="2" t="s">
        <v>698</v>
      </c>
      <c r="B10" s="83">
        <v>2500</v>
      </c>
      <c r="C10" s="20">
        <v>44650</v>
      </c>
      <c r="D10" s="7">
        <f t="shared" si="0"/>
        <v>14</v>
      </c>
    </row>
  </sheetData>
  <mergeCells count="1">
    <mergeCell ref="G1:H1"/>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F00E-B799-47D9-8B15-BCB9FE55D5AE}">
  <sheetPr codeName="Sheet430"/>
  <dimension ref="A1:C7"/>
  <sheetViews>
    <sheetView workbookViewId="0"/>
  </sheetViews>
  <sheetFormatPr defaultRowHeight="14.4"/>
  <cols>
    <col min="1" max="1" width="9.109375" customWidth="1"/>
    <col min="2" max="2" width="11" bestFit="1" customWidth="1"/>
    <col min="3" max="3" width="13" bestFit="1" customWidth="1"/>
  </cols>
  <sheetData>
    <row r="1" spans="1:3">
      <c r="A1" s="1" t="s">
        <v>670</v>
      </c>
      <c r="B1" s="1" t="s">
        <v>3747</v>
      </c>
      <c r="C1" s="1" t="s">
        <v>3708</v>
      </c>
    </row>
    <row r="2" spans="1:3">
      <c r="A2" s="20">
        <v>44562</v>
      </c>
      <c r="B2" s="2">
        <v>11</v>
      </c>
      <c r="C2" s="7">
        <v>1</v>
      </c>
    </row>
    <row r="3" spans="1:3">
      <c r="A3" s="20">
        <v>44593</v>
      </c>
      <c r="B3" s="2">
        <v>13</v>
      </c>
      <c r="C3" s="7">
        <v>5</v>
      </c>
    </row>
    <row r="4" spans="1:3">
      <c r="A4" s="20">
        <v>44621</v>
      </c>
      <c r="B4" s="2">
        <v>15</v>
      </c>
      <c r="C4" s="7">
        <v>9</v>
      </c>
    </row>
    <row r="5" spans="1:3">
      <c r="A5" s="20">
        <v>44652</v>
      </c>
      <c r="B5" s="2">
        <v>17</v>
      </c>
      <c r="C5" s="7">
        <v>14</v>
      </c>
    </row>
    <row r="6" spans="1:3">
      <c r="A6" s="20">
        <v>44682</v>
      </c>
      <c r="B6" s="2">
        <v>16</v>
      </c>
      <c r="C6" s="7">
        <v>18</v>
      </c>
    </row>
    <row r="7" spans="1:3">
      <c r="A7" s="20">
        <v>44713</v>
      </c>
      <c r="B7" s="2">
        <v>12</v>
      </c>
      <c r="C7" s="7">
        <v>23</v>
      </c>
    </row>
  </sheetData>
  <pageMargins left="0.7" right="0.7" top="0.75" bottom="0.75" header="0.3" footer="0.3"/>
  <pageSetup orientation="portrait" horizontalDpi="4294967293" verticalDpi="0"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9B3F-B1D5-4189-9BAE-59831CFA30C6}">
  <sheetPr codeName="Sheet432"/>
  <dimension ref="A1:E9"/>
  <sheetViews>
    <sheetView workbookViewId="0">
      <selection activeCell="D8" sqref="D8"/>
    </sheetView>
  </sheetViews>
  <sheetFormatPr defaultRowHeight="14.4"/>
  <cols>
    <col min="1" max="1" width="46.88671875" customWidth="1"/>
    <col min="2" max="2" width="12" bestFit="1" customWidth="1"/>
    <col min="3" max="3" width="10.109375" customWidth="1"/>
    <col min="4" max="4" width="10.109375" bestFit="1" customWidth="1"/>
    <col min="5" max="5" width="32" bestFit="1" customWidth="1"/>
  </cols>
  <sheetData>
    <row r="1" spans="1:5">
      <c r="A1" s="400" t="s">
        <v>3750</v>
      </c>
      <c r="B1" s="368"/>
      <c r="C1" s="368"/>
      <c r="D1" s="368"/>
    </row>
    <row r="2" spans="1:5">
      <c r="A2" s="1" t="s">
        <v>622</v>
      </c>
      <c r="B2" s="1" t="s">
        <v>3749</v>
      </c>
      <c r="C2" s="1" t="s">
        <v>3756</v>
      </c>
      <c r="D2" s="1" t="s">
        <v>3759</v>
      </c>
    </row>
    <row r="3" spans="1:5">
      <c r="A3" s="107" t="s">
        <v>3751</v>
      </c>
      <c r="B3" s="2" t="s">
        <v>3216</v>
      </c>
      <c r="C3" s="45">
        <v>2</v>
      </c>
      <c r="D3" s="45">
        <v>2</v>
      </c>
    </row>
    <row r="4" spans="1:5">
      <c r="A4" s="2" t="s">
        <v>3752</v>
      </c>
      <c r="B4" s="2" t="s">
        <v>3753</v>
      </c>
      <c r="C4" s="2">
        <v>50</v>
      </c>
      <c r="D4" s="2">
        <v>50</v>
      </c>
    </row>
    <row r="5" spans="1:5">
      <c r="A5" s="107" t="s">
        <v>3755</v>
      </c>
      <c r="B5" s="2" t="s">
        <v>3754</v>
      </c>
      <c r="C5" s="45">
        <v>1</v>
      </c>
      <c r="D5" s="45">
        <v>2</v>
      </c>
    </row>
    <row r="7" spans="1:5">
      <c r="E7" s="1" t="s">
        <v>1977</v>
      </c>
    </row>
    <row r="8" spans="1:5">
      <c r="A8" s="369" t="s">
        <v>3760</v>
      </c>
      <c r="B8" s="369"/>
      <c r="C8" s="369"/>
      <c r="D8" s="62">
        <f>TDIST(C3,C4,C5)</f>
        <v>2.5473534368846622E-2</v>
      </c>
      <c r="E8" s="65" t="s">
        <v>3757</v>
      </c>
    </row>
    <row r="9" spans="1:5">
      <c r="A9" s="369" t="s">
        <v>3761</v>
      </c>
      <c r="B9" s="369"/>
      <c r="C9" s="369"/>
      <c r="D9" s="62">
        <f>TDIST(D3,D4,D5)</f>
        <v>5.0947068737693245E-2</v>
      </c>
      <c r="E9" s="65" t="s">
        <v>3758</v>
      </c>
    </row>
  </sheetData>
  <mergeCells count="3">
    <mergeCell ref="A1:D1"/>
    <mergeCell ref="A8:C8"/>
    <mergeCell ref="A9:C9"/>
  </mergeCells>
  <pageMargins left="0.7" right="0.7" top="0.75" bottom="0.75" header="0.3" footer="0.3"/>
  <pageSetup orientation="portrait" horizontalDpi="4294967293"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F051-A160-43F0-BFD7-E8DC6B9F863A}">
  <sheetPr codeName="Sheet433"/>
  <dimension ref="A1:C8"/>
  <sheetViews>
    <sheetView workbookViewId="0">
      <selection sqref="A1:C8"/>
    </sheetView>
  </sheetViews>
  <sheetFormatPr defaultRowHeight="14.4"/>
  <cols>
    <col min="1" max="1" width="44.44140625" bestFit="1" customWidth="1"/>
    <col min="2" max="2" width="12" bestFit="1" customWidth="1"/>
    <col min="3" max="3" width="10.109375" customWidth="1"/>
    <col min="4" max="4" width="10.109375" bestFit="1" customWidth="1"/>
  </cols>
  <sheetData>
    <row r="1" spans="1:3">
      <c r="A1" s="400" t="s">
        <v>3750</v>
      </c>
      <c r="B1" s="368"/>
      <c r="C1" s="368"/>
    </row>
    <row r="2" spans="1:3">
      <c r="A2" s="1" t="s">
        <v>622</v>
      </c>
      <c r="B2" s="1" t="s">
        <v>3749</v>
      </c>
      <c r="C2" s="1" t="s">
        <v>1727</v>
      </c>
    </row>
    <row r="3" spans="1:3">
      <c r="A3" s="2" t="s">
        <v>3751</v>
      </c>
      <c r="B3" s="2" t="s">
        <v>3216</v>
      </c>
      <c r="C3" s="2">
        <v>1</v>
      </c>
    </row>
    <row r="4" spans="1:3">
      <c r="A4" s="2" t="s">
        <v>3752</v>
      </c>
      <c r="B4" s="2" t="s">
        <v>3753</v>
      </c>
      <c r="C4" s="2">
        <v>20</v>
      </c>
    </row>
    <row r="5" spans="1:3">
      <c r="A5" s="2" t="s">
        <v>3755</v>
      </c>
      <c r="B5" s="2" t="s">
        <v>3754</v>
      </c>
      <c r="C5" s="2">
        <v>1</v>
      </c>
    </row>
    <row r="8" spans="1:3">
      <c r="A8" s="1" t="s">
        <v>3762</v>
      </c>
      <c r="B8" s="62">
        <f>TDIST(C3,C4,C5)</f>
        <v>0.16462828858585454</v>
      </c>
    </row>
  </sheetData>
  <mergeCells count="1">
    <mergeCell ref="A1:C1"/>
  </mergeCell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ED26-DC29-4115-B8E4-076C9270DC25}">
  <sheetPr codeName="Sheet434"/>
  <dimension ref="A1:B7"/>
  <sheetViews>
    <sheetView workbookViewId="0">
      <selection activeCell="D8" sqref="D8"/>
    </sheetView>
  </sheetViews>
  <sheetFormatPr defaultRowHeight="14.4"/>
  <cols>
    <col min="1" max="1" width="24.44140625" bestFit="1" customWidth="1"/>
  </cols>
  <sheetData>
    <row r="1" spans="1:2">
      <c r="A1" s="369" t="s">
        <v>3764</v>
      </c>
      <c r="B1" s="369"/>
    </row>
    <row r="2" spans="1:2">
      <c r="A2" s="1" t="s">
        <v>2887</v>
      </c>
      <c r="B2" s="1" t="s">
        <v>1727</v>
      </c>
    </row>
    <row r="3" spans="1:2">
      <c r="A3" s="2" t="s">
        <v>3766</v>
      </c>
      <c r="B3" s="2">
        <v>10</v>
      </c>
    </row>
    <row r="4" spans="1:2">
      <c r="A4" s="2" t="s">
        <v>3767</v>
      </c>
      <c r="B4" s="2">
        <v>0.02</v>
      </c>
    </row>
    <row r="5" spans="1:2">
      <c r="A5" s="2" t="s">
        <v>3765</v>
      </c>
      <c r="B5" s="2">
        <v>3.3</v>
      </c>
    </row>
    <row r="6" spans="1:2">
      <c r="A6" s="14"/>
      <c r="B6" s="14"/>
    </row>
    <row r="7" spans="1:2">
      <c r="A7" s="98" t="s">
        <v>3763</v>
      </c>
      <c r="B7" s="7">
        <f>TDIST(B5,B3-1,1)</f>
        <v>4.6149541592735112E-3</v>
      </c>
    </row>
  </sheetData>
  <mergeCells count="1">
    <mergeCell ref="A1:B1"/>
  </mergeCells>
  <pageMargins left="0.7" right="0.7" top="0.75" bottom="0.75" header="0.3" footer="0.3"/>
  <pageSetup orientation="portrait" horizontalDpi="4294967293" verticalDpi="0"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C658-7EED-4FE3-91A7-2AFA7E0ED194}">
  <sheetPr codeName="Sheet435"/>
  <dimension ref="A1:D9"/>
  <sheetViews>
    <sheetView workbookViewId="0">
      <selection sqref="A1:D9"/>
    </sheetView>
  </sheetViews>
  <sheetFormatPr defaultRowHeight="14.4"/>
  <cols>
    <col min="1" max="1" width="44.44140625" bestFit="1" customWidth="1"/>
    <col min="2" max="2" width="12" bestFit="1" customWidth="1"/>
    <col min="3" max="4" width="10.109375" bestFit="1" customWidth="1"/>
  </cols>
  <sheetData>
    <row r="1" spans="1:4">
      <c r="A1" s="369" t="s">
        <v>3750</v>
      </c>
      <c r="B1" s="369"/>
      <c r="C1" s="369"/>
      <c r="D1" s="369"/>
    </row>
    <row r="2" spans="1:4">
      <c r="A2" s="1" t="s">
        <v>622</v>
      </c>
      <c r="B2" s="1" t="s">
        <v>3749</v>
      </c>
      <c r="C2" s="1" t="s">
        <v>3756</v>
      </c>
      <c r="D2" s="1" t="s">
        <v>3759</v>
      </c>
    </row>
    <row r="3" spans="1:4">
      <c r="A3" s="107" t="s">
        <v>3751</v>
      </c>
      <c r="B3" s="2" t="s">
        <v>3216</v>
      </c>
      <c r="C3" s="45">
        <v>-2</v>
      </c>
      <c r="D3" s="45">
        <v>-2</v>
      </c>
    </row>
    <row r="4" spans="1:4">
      <c r="A4" s="2" t="s">
        <v>3752</v>
      </c>
      <c r="B4" s="2" t="s">
        <v>3753</v>
      </c>
      <c r="C4" s="2">
        <v>60</v>
      </c>
      <c r="D4" s="2">
        <v>60</v>
      </c>
    </row>
    <row r="5" spans="1:4">
      <c r="A5" s="107" t="s">
        <v>3755</v>
      </c>
      <c r="B5" s="2" t="s">
        <v>3754</v>
      </c>
      <c r="C5" s="45">
        <v>1</v>
      </c>
      <c r="D5" s="45">
        <v>2</v>
      </c>
    </row>
    <row r="8" spans="1:4">
      <c r="A8" s="369" t="s">
        <v>3760</v>
      </c>
      <c r="B8" s="369"/>
      <c r="C8" s="369"/>
      <c r="D8" s="62">
        <f>1-TDIST(2,60,1)</f>
        <v>0.97498347817427122</v>
      </c>
    </row>
    <row r="9" spans="1:4">
      <c r="A9" s="369" t="s">
        <v>3761</v>
      </c>
      <c r="B9" s="369"/>
      <c r="C9" s="369"/>
      <c r="D9" s="62">
        <f>TDIST(2,60,2)</f>
        <v>5.0033043651457457E-2</v>
      </c>
    </row>
  </sheetData>
  <mergeCells count="3">
    <mergeCell ref="A1:D1"/>
    <mergeCell ref="A8:C8"/>
    <mergeCell ref="A9:C9"/>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A70A-8E3B-42F6-AE66-DC09A2290A73}">
  <sheetPr codeName="Sheet436"/>
  <dimension ref="A1:C14"/>
  <sheetViews>
    <sheetView workbookViewId="0">
      <selection activeCell="D8" sqref="D8"/>
    </sheetView>
  </sheetViews>
  <sheetFormatPr defaultRowHeight="14.4"/>
  <cols>
    <col min="1" max="1" width="44.44140625" bestFit="1" customWidth="1"/>
    <col min="2" max="3" width="13.109375" customWidth="1"/>
  </cols>
  <sheetData>
    <row r="1" spans="1:3">
      <c r="A1" s="369" t="s">
        <v>3779</v>
      </c>
      <c r="B1" s="369"/>
      <c r="C1" s="369"/>
    </row>
    <row r="2" spans="1:3">
      <c r="A2" s="1" t="s">
        <v>622</v>
      </c>
      <c r="B2" s="1" t="s">
        <v>3749</v>
      </c>
      <c r="C2" s="1" t="s">
        <v>1727</v>
      </c>
    </row>
    <row r="3" spans="1:3">
      <c r="A3" s="2" t="s">
        <v>3751</v>
      </c>
      <c r="B3" s="2" t="s">
        <v>3216</v>
      </c>
      <c r="C3" s="2">
        <v>0.8</v>
      </c>
    </row>
    <row r="4" spans="1:3">
      <c r="A4" s="2" t="s">
        <v>3752</v>
      </c>
      <c r="B4" s="2" t="s">
        <v>3753</v>
      </c>
      <c r="C4" s="2">
        <v>5</v>
      </c>
    </row>
    <row r="7" spans="1:3">
      <c r="A7" s="400" t="s">
        <v>3764</v>
      </c>
      <c r="B7" s="368"/>
      <c r="C7" s="368"/>
    </row>
    <row r="8" spans="1:3">
      <c r="A8" s="1" t="s">
        <v>3768</v>
      </c>
      <c r="B8" s="1" t="s">
        <v>3774</v>
      </c>
      <c r="C8" s="1" t="s">
        <v>3763</v>
      </c>
    </row>
    <row r="9" spans="1:3">
      <c r="A9" s="2" t="s">
        <v>3769</v>
      </c>
      <c r="B9" s="7" t="s">
        <v>3775</v>
      </c>
      <c r="C9" s="62">
        <f>TDIST(C3,C4,1)</f>
        <v>0.23000703345186843</v>
      </c>
    </row>
    <row r="10" spans="1:3">
      <c r="A10" s="2" t="s">
        <v>3770</v>
      </c>
      <c r="B10" s="7" t="s">
        <v>3775</v>
      </c>
      <c r="C10" s="62">
        <f>TDIST(C3,C4,2)</f>
        <v>0.46001406690373686</v>
      </c>
    </row>
    <row r="11" spans="1:3">
      <c r="A11" s="2" t="s">
        <v>3771</v>
      </c>
      <c r="B11" s="7" t="s">
        <v>3776</v>
      </c>
      <c r="C11" s="62">
        <f>_xlfn.T.DIST.RT(C3,C4)</f>
        <v>0.23000703345186843</v>
      </c>
    </row>
    <row r="12" spans="1:3">
      <c r="A12" s="2" t="s">
        <v>3770</v>
      </c>
      <c r="B12" s="7" t="s">
        <v>3777</v>
      </c>
      <c r="C12" s="62">
        <f>_xlfn.T.DIST.2T(C3,C4)</f>
        <v>0.46001406690373686</v>
      </c>
    </row>
    <row r="13" spans="1:3">
      <c r="A13" s="2" t="s">
        <v>3772</v>
      </c>
      <c r="B13" s="7" t="s">
        <v>3778</v>
      </c>
      <c r="C13" s="62">
        <f>_xlfn.T.DIST(C3,C4,TRUE)</f>
        <v>0.76999296654813154</v>
      </c>
    </row>
    <row r="14" spans="1:3">
      <c r="A14" s="2" t="s">
        <v>3773</v>
      </c>
      <c r="B14" s="7" t="s">
        <v>3778</v>
      </c>
      <c r="C14" s="62">
        <f>_xlfn.T.DIST(C3,C4,FALSE)</f>
        <v>0.26448835680795757</v>
      </c>
    </row>
  </sheetData>
  <mergeCells count="2">
    <mergeCell ref="A1:C1"/>
    <mergeCell ref="A7:C7"/>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E370-863A-4DC0-9624-5BFCF11FEAFF}">
  <sheetPr codeName="Sheet437"/>
  <dimension ref="A1:D8"/>
  <sheetViews>
    <sheetView workbookViewId="0">
      <selection activeCell="B2" sqref="B2"/>
    </sheetView>
  </sheetViews>
  <sheetFormatPr defaultRowHeight="14.4"/>
  <cols>
    <col min="1" max="1" width="44.44140625" bestFit="1" customWidth="1"/>
    <col min="2" max="2" width="12" bestFit="1" customWidth="1"/>
    <col min="3" max="4" width="10.109375" bestFit="1" customWidth="1"/>
  </cols>
  <sheetData>
    <row r="1" spans="1:4">
      <c r="A1" s="369" t="s">
        <v>3750</v>
      </c>
      <c r="B1" s="369"/>
      <c r="C1" s="369"/>
    </row>
    <row r="2" spans="1:4">
      <c r="A2" s="1" t="s">
        <v>622</v>
      </c>
      <c r="B2" s="1" t="s">
        <v>3749</v>
      </c>
      <c r="C2" s="1" t="s">
        <v>1727</v>
      </c>
    </row>
    <row r="3" spans="1:4">
      <c r="A3" s="2" t="s">
        <v>3751</v>
      </c>
      <c r="B3" s="2" t="s">
        <v>3216</v>
      </c>
      <c r="C3" s="45">
        <v>0.5</v>
      </c>
    </row>
    <row r="4" spans="1:4">
      <c r="A4" s="2" t="s">
        <v>3752</v>
      </c>
      <c r="B4" s="2" t="s">
        <v>3753</v>
      </c>
      <c r="C4" s="2">
        <v>2</v>
      </c>
    </row>
    <row r="5" spans="1:4">
      <c r="A5" s="2" t="s">
        <v>3755</v>
      </c>
      <c r="B5" s="2" t="s">
        <v>3754</v>
      </c>
      <c r="C5" s="45">
        <v>2</v>
      </c>
    </row>
    <row r="8" spans="1:4">
      <c r="A8" s="369" t="s">
        <v>3780</v>
      </c>
      <c r="B8" s="369"/>
      <c r="C8" s="369"/>
      <c r="D8" s="62">
        <v>0.66666666666666663</v>
      </c>
    </row>
  </sheetData>
  <mergeCells count="2">
    <mergeCell ref="A8:C8"/>
    <mergeCell ref="A1:C1"/>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FF5B-4840-475F-A2B8-01BCA6C9C36A}">
  <sheetPr codeName="Sheet438"/>
  <dimension ref="A1:C9"/>
  <sheetViews>
    <sheetView workbookViewId="0">
      <selection activeCell="J16" sqref="J16"/>
    </sheetView>
  </sheetViews>
  <sheetFormatPr defaultRowHeight="14.4"/>
  <cols>
    <col min="1" max="1" width="11.109375" bestFit="1" customWidth="1"/>
    <col min="2" max="2" width="11.109375" customWidth="1"/>
    <col min="3" max="3" width="25.5546875" bestFit="1" customWidth="1"/>
  </cols>
  <sheetData>
    <row r="1" spans="1:3">
      <c r="A1" s="1" t="s">
        <v>153</v>
      </c>
      <c r="B1" s="1" t="s">
        <v>3781</v>
      </c>
      <c r="C1" s="1" t="s">
        <v>1145</v>
      </c>
    </row>
    <row r="2" spans="1:3">
      <c r="A2" s="2">
        <v>16</v>
      </c>
      <c r="B2" s="7">
        <f>SQRT(A2)</f>
        <v>4</v>
      </c>
      <c r="C2" s="65" t="s">
        <v>3782</v>
      </c>
    </row>
    <row r="3" spans="1:3">
      <c r="A3" s="2">
        <v>50</v>
      </c>
      <c r="B3" s="7">
        <f t="shared" ref="B3:B9" si="0">SQRT(A3)</f>
        <v>7.0710678118654755</v>
      </c>
      <c r="C3" s="65" t="s">
        <v>3783</v>
      </c>
    </row>
    <row r="4" spans="1:3">
      <c r="A4" s="2">
        <v>0</v>
      </c>
      <c r="B4" s="7">
        <f t="shared" si="0"/>
        <v>0</v>
      </c>
      <c r="C4" s="65" t="s">
        <v>3784</v>
      </c>
    </row>
    <row r="5" spans="1:3">
      <c r="A5" s="2">
        <v>132944</v>
      </c>
      <c r="B5" s="7">
        <f t="shared" si="0"/>
        <v>364.6148653031031</v>
      </c>
      <c r="C5" s="65" t="s">
        <v>3785</v>
      </c>
    </row>
    <row r="6" spans="1:3">
      <c r="A6" s="2">
        <v>100</v>
      </c>
      <c r="B6" s="7">
        <f t="shared" si="0"/>
        <v>10</v>
      </c>
      <c r="C6" s="65" t="s">
        <v>3786</v>
      </c>
    </row>
    <row r="7" spans="1:3">
      <c r="A7" s="235">
        <v>3.08641975308642E-3</v>
      </c>
      <c r="B7" s="236">
        <f t="shared" si="0"/>
        <v>5.5555555555555559E-2</v>
      </c>
      <c r="C7" s="65" t="s">
        <v>3787</v>
      </c>
    </row>
    <row r="8" spans="1:3">
      <c r="A8" s="235">
        <v>1.3717421124828531E-3</v>
      </c>
      <c r="B8" s="236">
        <f t="shared" si="0"/>
        <v>3.7037037037037035E-2</v>
      </c>
      <c r="C8" s="65" t="s">
        <v>3788</v>
      </c>
    </row>
    <row r="9" spans="1:3">
      <c r="A9" s="2">
        <v>625.25</v>
      </c>
      <c r="B9" s="7">
        <f t="shared" si="0"/>
        <v>25.004999500099974</v>
      </c>
      <c r="C9" s="65" t="s">
        <v>3789</v>
      </c>
    </row>
  </sheetData>
  <pageMargins left="0.7" right="0.7" top="0.75" bottom="0.75" header="0.3" footer="0.3"/>
  <pageSetup orientation="portrait" horizontalDpi="4294967293" verticalDpi="0"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08C3-B0FA-49F9-B947-1021B73A15BB}">
  <sheetPr codeName="Sheet439"/>
  <dimension ref="A1:B6"/>
  <sheetViews>
    <sheetView workbookViewId="0">
      <selection activeCell="J16" sqref="J16"/>
    </sheetView>
  </sheetViews>
  <sheetFormatPr defaultRowHeight="14.4"/>
  <cols>
    <col min="1" max="1" width="10.109375" customWidth="1"/>
    <col min="2" max="2" width="11.109375" bestFit="1" customWidth="1"/>
  </cols>
  <sheetData>
    <row r="1" spans="1:2">
      <c r="A1" s="1" t="s">
        <v>1727</v>
      </c>
      <c r="B1" s="1" t="s">
        <v>3781</v>
      </c>
    </row>
    <row r="2" spans="1:2">
      <c r="A2" s="2">
        <v>64</v>
      </c>
      <c r="B2" s="7">
        <f>SQRT(A2)</f>
        <v>8</v>
      </c>
    </row>
    <row r="3" spans="1:2">
      <c r="A3" s="2">
        <v>101</v>
      </c>
      <c r="B3" s="7">
        <f>SQRT(A3)</f>
        <v>10.04987562112089</v>
      </c>
    </row>
    <row r="4" spans="1:2">
      <c r="A4" s="14">
        <v>466489</v>
      </c>
      <c r="B4" s="7">
        <f>SQRT(A4)</f>
        <v>683</v>
      </c>
    </row>
    <row r="5" spans="1:2">
      <c r="A5" s="2">
        <v>893.54200000000003</v>
      </c>
      <c r="B5" s="7">
        <f>SQRT(A5)</f>
        <v>29.892172888567334</v>
      </c>
    </row>
    <row r="6" spans="1:2">
      <c r="A6" s="235">
        <v>8.2644628099173556E-3</v>
      </c>
      <c r="B6" s="237">
        <f>SQRT(A6)</f>
        <v>9.0909090909090912E-2</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5472-3EB6-49E7-8BBD-83E5F4F0C50B}">
  <sheetPr codeName="Sheet440"/>
  <dimension ref="A1:C6"/>
  <sheetViews>
    <sheetView workbookViewId="0">
      <selection activeCell="J16" sqref="J16"/>
    </sheetView>
  </sheetViews>
  <sheetFormatPr defaultRowHeight="14.4"/>
  <cols>
    <col min="2" max="2" width="25" bestFit="1" customWidth="1"/>
    <col min="3" max="3" width="18.5546875" bestFit="1" customWidth="1"/>
  </cols>
  <sheetData>
    <row r="1" spans="1:3">
      <c r="A1" s="1" t="s">
        <v>153</v>
      </c>
      <c r="B1" s="1" t="s">
        <v>3791</v>
      </c>
      <c r="C1" s="1" t="s">
        <v>3790</v>
      </c>
    </row>
    <row r="2" spans="1:3">
      <c r="A2" s="2">
        <v>81</v>
      </c>
      <c r="B2" s="7">
        <f>A2^(1/2)</f>
        <v>9</v>
      </c>
      <c r="C2" s="7">
        <f>SQRT(A2)</f>
        <v>9</v>
      </c>
    </row>
    <row r="3" spans="1:3">
      <c r="A3" s="2">
        <v>169</v>
      </c>
      <c r="B3" s="7">
        <f>A3^(1/2)</f>
        <v>13</v>
      </c>
      <c r="C3" s="7">
        <f>SQRT(A3)</f>
        <v>13</v>
      </c>
    </row>
    <row r="4" spans="1:3">
      <c r="A4" s="2">
        <v>2.89</v>
      </c>
      <c r="B4" s="7">
        <f>A4^(1/2)</f>
        <v>1.7</v>
      </c>
      <c r="C4" s="7">
        <f>SQRT(A4)</f>
        <v>1.7</v>
      </c>
    </row>
    <row r="5" spans="1:3">
      <c r="A5" s="2">
        <v>33489</v>
      </c>
      <c r="B5" s="7">
        <f>A5^(1/2)</f>
        <v>183</v>
      </c>
      <c r="C5" s="7">
        <f>SQRT(A5)</f>
        <v>183</v>
      </c>
    </row>
    <row r="6" spans="1:3">
      <c r="A6" s="2">
        <v>10000</v>
      </c>
      <c r="B6" s="7">
        <f>A6^(1/2)</f>
        <v>100</v>
      </c>
      <c r="C6" s="7">
        <f>SQRT(A6)</f>
        <v>100</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2227-AB66-4B5B-B5FD-31F4A854D226}">
  <sheetPr codeName="Sheet441"/>
  <dimension ref="A1:B4"/>
  <sheetViews>
    <sheetView workbookViewId="0">
      <selection activeCell="J16" sqref="J16"/>
    </sheetView>
  </sheetViews>
  <sheetFormatPr defaultRowHeight="14.4"/>
  <cols>
    <col min="1" max="1" width="11" customWidth="1"/>
    <col min="2" max="2" width="11.109375" bestFit="1" customWidth="1"/>
  </cols>
  <sheetData>
    <row r="1" spans="1:2">
      <c r="A1" s="1" t="s">
        <v>153</v>
      </c>
      <c r="B1" s="1" t="s">
        <v>3781</v>
      </c>
    </row>
    <row r="2" spans="1:2">
      <c r="A2" s="2">
        <v>-676</v>
      </c>
      <c r="B2" s="7">
        <f>SQRT(ABS(A2))</f>
        <v>26</v>
      </c>
    </row>
    <row r="3" spans="1:2">
      <c r="A3" s="2">
        <v>-8234.49</v>
      </c>
      <c r="B3" s="7">
        <f>SQRT(ABS(A3))</f>
        <v>90.744090716696263</v>
      </c>
    </row>
    <row r="4" spans="1:2">
      <c r="A4" s="235">
        <f>-1/441</f>
        <v>-2.2675736961451248E-3</v>
      </c>
      <c r="B4" s="236">
        <f>SQRT(ABS(A4))</f>
        <v>4.7619047619047616E-2</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89F0-1509-4CD8-8687-AB865646436A}">
  <sheetPr codeName="Sheet442"/>
  <dimension ref="A1:C6"/>
  <sheetViews>
    <sheetView workbookViewId="0">
      <selection activeCell="J16" sqref="J16"/>
    </sheetView>
  </sheetViews>
  <sheetFormatPr defaultRowHeight="14.4"/>
  <cols>
    <col min="2" max="2" width="14.44140625" bestFit="1" customWidth="1"/>
    <col min="3" max="3" width="11" bestFit="1" customWidth="1"/>
  </cols>
  <sheetData>
    <row r="1" spans="1:3">
      <c r="A1" s="1" t="s">
        <v>1727</v>
      </c>
      <c r="B1" s="1" t="s">
        <v>3792</v>
      </c>
      <c r="C1" s="1" t="s">
        <v>3781</v>
      </c>
    </row>
    <row r="2" spans="1:3">
      <c r="A2" s="2">
        <v>7</v>
      </c>
      <c r="B2" s="2">
        <v>49</v>
      </c>
      <c r="C2" s="7">
        <f>IF(A2^2=B2,SQRT(B2),"NA")</f>
        <v>7</v>
      </c>
    </row>
    <row r="3" spans="1:3">
      <c r="A3" s="2">
        <v>54</v>
      </c>
      <c r="B3" s="2">
        <v>2999</v>
      </c>
      <c r="C3" s="7" t="str">
        <f>IF(A3^2=B3,SQRT(B3),"NA")</f>
        <v>NA</v>
      </c>
    </row>
    <row r="4" spans="1:3">
      <c r="A4" s="2">
        <v>22</v>
      </c>
      <c r="B4" s="2">
        <v>484</v>
      </c>
      <c r="C4" s="7">
        <f>IF(A4^2=B4,SQRT(B4),"NA")</f>
        <v>22</v>
      </c>
    </row>
    <row r="5" spans="1:3">
      <c r="A5" s="2">
        <v>111</v>
      </c>
      <c r="B5" s="2">
        <v>12336</v>
      </c>
      <c r="C5" s="7" t="str">
        <f>IF(A5^2=B5,SQRT(B5),"NA")</f>
        <v>NA</v>
      </c>
    </row>
    <row r="6" spans="1:3">
      <c r="A6" s="2">
        <v>143</v>
      </c>
      <c r="B6" s="2">
        <v>20449</v>
      </c>
      <c r="C6" s="7">
        <f>IF(A6^2=B6,SQRT(B6),"NA")</f>
        <v>143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042F-A6D9-4FAC-85BF-2467746048FD}">
  <sheetPr codeName="Sheet443"/>
  <dimension ref="A1:B8"/>
  <sheetViews>
    <sheetView workbookViewId="0"/>
  </sheetViews>
  <sheetFormatPr defaultRowHeight="14.4"/>
  <cols>
    <col min="1" max="1" width="10.109375" customWidth="1"/>
    <col min="2" max="2" width="11.88671875" customWidth="1"/>
  </cols>
  <sheetData>
    <row r="1" spans="1:2">
      <c r="A1" s="1" t="s">
        <v>153</v>
      </c>
      <c r="B1" s="1" t="s">
        <v>3781</v>
      </c>
    </row>
    <row r="2" spans="1:2">
      <c r="A2" s="2">
        <v>4</v>
      </c>
      <c r="B2" s="7">
        <v>2</v>
      </c>
    </row>
    <row r="3" spans="1:2">
      <c r="A3" s="2">
        <v>25</v>
      </c>
      <c r="B3" s="7">
        <v>5</v>
      </c>
    </row>
    <row r="4" spans="1:2">
      <c r="A4" s="2">
        <v>3945.23</v>
      </c>
      <c r="B4" s="7">
        <v>62.811065904026819</v>
      </c>
    </row>
    <row r="5" spans="1:2">
      <c r="A5" s="2">
        <v>183184</v>
      </c>
      <c r="B5" s="7">
        <v>428</v>
      </c>
    </row>
    <row r="6" spans="1:2">
      <c r="A6" s="2">
        <v>178.49</v>
      </c>
      <c r="B6" s="7">
        <v>13.360014970051493</v>
      </c>
    </row>
    <row r="7" spans="1:2">
      <c r="A7" s="235">
        <v>4.4444444444444444E-3</v>
      </c>
      <c r="B7" s="236">
        <v>6.6666666666666693E-2</v>
      </c>
    </row>
    <row r="8" spans="1:2">
      <c r="A8" s="235">
        <v>5.9171597633136093E-3</v>
      </c>
      <c r="B8" s="236">
        <v>7.69230769230769E-2</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E0E6-20D6-4DB9-8F2A-DDF25C3EFDE3}">
  <sheetPr codeName="Sheet444"/>
  <dimension ref="A1:F10"/>
  <sheetViews>
    <sheetView workbookViewId="0">
      <selection activeCell="E9" sqref="E9"/>
    </sheetView>
  </sheetViews>
  <sheetFormatPr defaultRowHeight="14.4"/>
  <cols>
    <col min="1" max="1" width="36.109375" bestFit="1" customWidth="1"/>
    <col min="2" max="2" width="12.44140625" customWidth="1"/>
    <col min="3" max="4" width="10.88671875" customWidth="1"/>
    <col min="6" max="6" width="40.6640625" bestFit="1" customWidth="1"/>
  </cols>
  <sheetData>
    <row r="1" spans="1:6">
      <c r="A1" s="369" t="s">
        <v>3805</v>
      </c>
      <c r="B1" s="369"/>
      <c r="C1" s="369"/>
      <c r="D1" s="369"/>
    </row>
    <row r="2" spans="1:6">
      <c r="A2" s="1" t="s">
        <v>622</v>
      </c>
      <c r="B2" s="1" t="s">
        <v>3749</v>
      </c>
      <c r="C2" s="1" t="s">
        <v>3756</v>
      </c>
      <c r="D2" s="1" t="s">
        <v>3759</v>
      </c>
    </row>
    <row r="3" spans="1:6">
      <c r="A3" s="2" t="s">
        <v>3796</v>
      </c>
      <c r="B3" s="7" t="s">
        <v>3216</v>
      </c>
      <c r="C3" s="2">
        <v>55</v>
      </c>
      <c r="D3" s="2">
        <v>55</v>
      </c>
    </row>
    <row r="4" spans="1:6">
      <c r="A4" s="2" t="s">
        <v>3804</v>
      </c>
      <c r="B4" s="7" t="s">
        <v>3793</v>
      </c>
      <c r="C4" s="2">
        <v>50</v>
      </c>
      <c r="D4" s="2">
        <v>50</v>
      </c>
    </row>
    <row r="5" spans="1:6">
      <c r="A5" s="2" t="s">
        <v>3797</v>
      </c>
      <c r="B5" s="7" t="s">
        <v>3794</v>
      </c>
      <c r="C5" s="2">
        <v>2</v>
      </c>
      <c r="D5" s="2">
        <v>2</v>
      </c>
    </row>
    <row r="6" spans="1:6">
      <c r="A6" s="2" t="s">
        <v>3798</v>
      </c>
      <c r="B6" s="7" t="s">
        <v>3795</v>
      </c>
      <c r="C6" s="2" t="b">
        <v>1</v>
      </c>
      <c r="D6" s="2" t="b">
        <v>0</v>
      </c>
    </row>
    <row r="7" spans="1:6">
      <c r="D7" s="14"/>
    </row>
    <row r="8" spans="1:6">
      <c r="F8" s="1" t="s">
        <v>1520</v>
      </c>
    </row>
    <row r="9" spans="1:6">
      <c r="A9" s="369" t="s">
        <v>3800</v>
      </c>
      <c r="B9" s="369"/>
      <c r="C9" s="369"/>
      <c r="D9" s="369"/>
      <c r="E9" s="7">
        <f>_xlfn.NORM.DIST(C3,C4,C5,C6)</f>
        <v>0.99379033467422384</v>
      </c>
      <c r="F9" s="65" t="s">
        <v>3802</v>
      </c>
    </row>
    <row r="10" spans="1:6">
      <c r="A10" s="369" t="s">
        <v>3801</v>
      </c>
      <c r="B10" s="369"/>
      <c r="C10" s="369"/>
      <c r="D10" s="369"/>
      <c r="E10" s="7">
        <f>_xlfn.NORM.DIST(D3,D4,D5,D6)</f>
        <v>8.7641502467842702E-3</v>
      </c>
      <c r="F10" s="65" t="s">
        <v>3803</v>
      </c>
    </row>
  </sheetData>
  <mergeCells count="3">
    <mergeCell ref="A1:D1"/>
    <mergeCell ref="A9:D9"/>
    <mergeCell ref="A10:D10"/>
  </mergeCells>
  <pageMargins left="0.7" right="0.7" top="0.75" bottom="0.75" header="0.3" footer="0.3"/>
  <pageSetup orientation="portrait" horizontalDpi="4294967293" verticalDpi="0"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B7D0-322C-4F42-8677-114A63901C96}">
  <sheetPr codeName="Sheet445"/>
  <dimension ref="A1:D9"/>
  <sheetViews>
    <sheetView workbookViewId="0">
      <selection activeCell="E9" sqref="E9"/>
    </sheetView>
  </sheetViews>
  <sheetFormatPr defaultRowHeight="14.4"/>
  <cols>
    <col min="1" max="1" width="34.33203125" bestFit="1" customWidth="1"/>
    <col min="2" max="2" width="12.44140625" bestFit="1" customWidth="1"/>
    <col min="3" max="3" width="10.109375" bestFit="1" customWidth="1"/>
    <col min="4" max="4" width="11.88671875" bestFit="1" customWidth="1"/>
  </cols>
  <sheetData>
    <row r="1" spans="1:4">
      <c r="A1" s="371" t="s">
        <v>3806</v>
      </c>
      <c r="B1" s="372"/>
      <c r="C1" s="373"/>
    </row>
    <row r="2" spans="1:4">
      <c r="A2" s="1" t="s">
        <v>622</v>
      </c>
      <c r="B2" s="1" t="s">
        <v>3749</v>
      </c>
      <c r="C2" s="1" t="s">
        <v>1727</v>
      </c>
    </row>
    <row r="3" spans="1:4">
      <c r="A3" s="2" t="s">
        <v>3796</v>
      </c>
      <c r="B3" s="7" t="s">
        <v>3216</v>
      </c>
      <c r="C3" s="2">
        <v>140</v>
      </c>
    </row>
    <row r="4" spans="1:4">
      <c r="A4" s="2" t="s">
        <v>3804</v>
      </c>
      <c r="B4" s="7" t="s">
        <v>3793</v>
      </c>
      <c r="C4" s="2">
        <v>110</v>
      </c>
    </row>
    <row r="5" spans="1:4">
      <c r="A5" s="2" t="s">
        <v>3797</v>
      </c>
      <c r="B5" s="7" t="s">
        <v>3794</v>
      </c>
      <c r="C5" s="2">
        <v>20</v>
      </c>
    </row>
    <row r="6" spans="1:4">
      <c r="A6" s="2" t="s">
        <v>3798</v>
      </c>
      <c r="B6" s="7" t="s">
        <v>3795</v>
      </c>
      <c r="C6" s="2" t="b">
        <v>1</v>
      </c>
    </row>
    <row r="9" spans="1:4">
      <c r="A9" s="371" t="s">
        <v>3807</v>
      </c>
      <c r="B9" s="372"/>
      <c r="C9" s="373"/>
      <c r="D9" s="7">
        <f>_xlfn.NORM.DIST(C3,C4,C5,TRUE)</f>
        <v>0.93319279873114191</v>
      </c>
    </row>
  </sheetData>
  <mergeCells count="2">
    <mergeCell ref="A1:C1"/>
    <mergeCell ref="A9:C9"/>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BD6-7070-4BBA-B880-59FD98245931}">
  <sheetPr codeName="Sheet446"/>
  <dimension ref="A1:D14"/>
  <sheetViews>
    <sheetView zoomScale="80" zoomScaleNormal="80" workbookViewId="0">
      <selection activeCell="E9" sqref="E9"/>
    </sheetView>
  </sheetViews>
  <sheetFormatPr defaultRowHeight="14.4"/>
  <cols>
    <col min="1" max="1" width="17.6640625" bestFit="1" customWidth="1"/>
    <col min="2" max="2" width="14.5546875" bestFit="1" customWidth="1"/>
    <col min="3" max="3" width="31.88671875" bestFit="1" customWidth="1"/>
    <col min="4" max="4" width="54.88671875" bestFit="1" customWidth="1"/>
  </cols>
  <sheetData>
    <row r="1" spans="1:4">
      <c r="A1" s="1" t="s">
        <v>0</v>
      </c>
      <c r="B1" s="1" t="s">
        <v>3494</v>
      </c>
      <c r="C1" s="1" t="s">
        <v>3799</v>
      </c>
      <c r="D1" s="1" t="s">
        <v>3818</v>
      </c>
    </row>
    <row r="2" spans="1:4">
      <c r="A2" s="2" t="s">
        <v>3810</v>
      </c>
      <c r="B2" s="2">
        <v>59</v>
      </c>
      <c r="C2" s="7">
        <f>_xlfn.NORM.DIST(B2,$B$13,$B$14,0)</f>
        <v>4.9559741205374458E-2</v>
      </c>
      <c r="D2" s="7">
        <f>(1/(SQRT(2*PI())*$B$14))*EXP(-((B2-$B$13)*(B2-$B$13))/(2*$B$14*$B$14))</f>
        <v>4.9559741205374458E-2</v>
      </c>
    </row>
    <row r="3" spans="1:4">
      <c r="A3" s="2" t="s">
        <v>3808</v>
      </c>
      <c r="B3" s="2">
        <v>60</v>
      </c>
      <c r="C3" s="7">
        <f t="shared" ref="C3:C11" si="0">_xlfn.NORM.DIST(B3,$B$13,$B$14,0)</f>
        <v>9.4475460660239707E-2</v>
      </c>
      <c r="D3" s="7">
        <f t="shared" ref="D3:D11" si="1">(1/(SQRT(2*PI())*$B$14))*EXP(-((B3-$B$13)*(B3-$B$13))/(2*$B$14*$B$14))</f>
        <v>9.4475460660239693E-2</v>
      </c>
    </row>
    <row r="4" spans="1:4">
      <c r="A4" s="2" t="s">
        <v>3811</v>
      </c>
      <c r="B4" s="2">
        <v>61</v>
      </c>
      <c r="C4" s="7">
        <f t="shared" si="0"/>
        <v>0.14524872999399824</v>
      </c>
      <c r="D4" s="7">
        <f t="shared" si="1"/>
        <v>0.14524872999399824</v>
      </c>
    </row>
    <row r="5" spans="1:4">
      <c r="A5" s="2" t="s">
        <v>3815</v>
      </c>
      <c r="B5" s="2">
        <v>61</v>
      </c>
      <c r="C5" s="7">
        <f t="shared" si="0"/>
        <v>0.14524872999399824</v>
      </c>
      <c r="D5" s="7">
        <f t="shared" si="1"/>
        <v>0.14524872999399824</v>
      </c>
    </row>
    <row r="6" spans="1:4">
      <c r="A6" s="2" t="s">
        <v>3448</v>
      </c>
      <c r="B6" s="2">
        <v>62</v>
      </c>
      <c r="C6" s="7">
        <f t="shared" si="0"/>
        <v>0.18009804833275783</v>
      </c>
      <c r="D6" s="7">
        <f t="shared" si="1"/>
        <v>0.18009804833275783</v>
      </c>
    </row>
    <row r="7" spans="1:4">
      <c r="A7" s="2" t="s">
        <v>3449</v>
      </c>
      <c r="B7" s="2">
        <v>63</v>
      </c>
      <c r="C7" s="7">
        <f t="shared" si="0"/>
        <v>0.18009804833275783</v>
      </c>
      <c r="D7" s="7">
        <f t="shared" si="1"/>
        <v>0.18009804833275783</v>
      </c>
    </row>
    <row r="8" spans="1:4">
      <c r="A8" s="2" t="s">
        <v>3809</v>
      </c>
      <c r="B8" s="2">
        <v>64</v>
      </c>
      <c r="C8" s="7">
        <f t="shared" si="0"/>
        <v>0.14524872999399824</v>
      </c>
      <c r="D8" s="7">
        <f t="shared" si="1"/>
        <v>0.14524872999399824</v>
      </c>
    </row>
    <row r="9" spans="1:4">
      <c r="A9" s="2" t="s">
        <v>3812</v>
      </c>
      <c r="B9" s="2">
        <v>64</v>
      </c>
      <c r="C9" s="7">
        <f t="shared" si="0"/>
        <v>0.14524872999399824</v>
      </c>
      <c r="D9" s="7">
        <f t="shared" si="1"/>
        <v>0.14524872999399824</v>
      </c>
    </row>
    <row r="10" spans="1:4">
      <c r="A10" s="2" t="s">
        <v>3814</v>
      </c>
      <c r="B10" s="2">
        <v>65</v>
      </c>
      <c r="C10" s="7">
        <f t="shared" si="0"/>
        <v>9.4475460660239707E-2</v>
      </c>
      <c r="D10" s="7">
        <f t="shared" si="1"/>
        <v>9.4475460660239693E-2</v>
      </c>
    </row>
    <row r="11" spans="1:4">
      <c r="A11" s="2" t="s">
        <v>3813</v>
      </c>
      <c r="B11" s="2">
        <v>66</v>
      </c>
      <c r="C11" s="7">
        <f t="shared" si="0"/>
        <v>4.9559741205374458E-2</v>
      </c>
      <c r="D11" s="7">
        <f t="shared" si="1"/>
        <v>4.9559741205374458E-2</v>
      </c>
    </row>
    <row r="13" spans="1:4">
      <c r="A13" s="1" t="s">
        <v>3817</v>
      </c>
      <c r="B13" s="7">
        <f>AVERAGE(B2:B11)</f>
        <v>62.5</v>
      </c>
    </row>
    <row r="14" spans="1:4">
      <c r="A14" s="1" t="s">
        <v>3816</v>
      </c>
      <c r="B14" s="7">
        <f>_xlfn.STDEV.P(B2:B11)</f>
        <v>2.1563858652847827</v>
      </c>
    </row>
  </sheetData>
  <sortState xmlns:xlrd2="http://schemas.microsoft.com/office/spreadsheetml/2017/richdata2" ref="B2:B11">
    <sortCondition ref="B2"/>
  </sortState>
  <pageMargins left="0.7" right="0.7" top="0.75" bottom="0.75" header="0.3" footer="0.3"/>
  <pageSetup orientation="portrait" horizontalDpi="4294967293" verticalDpi="0" r:id="rId1"/>
  <drawing r:id="rId2"/>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8141-B58A-43B6-BAAD-5163C15F7306}">
  <sheetPr codeName="Sheet447"/>
  <dimension ref="A1:C14"/>
  <sheetViews>
    <sheetView workbookViewId="0">
      <selection activeCell="E9" sqref="E9"/>
    </sheetView>
  </sheetViews>
  <sheetFormatPr defaultRowHeight="14.4"/>
  <cols>
    <col min="1" max="1" width="17.109375" bestFit="1" customWidth="1"/>
    <col min="2" max="2" width="14.109375" bestFit="1" customWidth="1"/>
    <col min="3" max="3" width="36.109375" bestFit="1" customWidth="1"/>
  </cols>
  <sheetData>
    <row r="1" spans="1:3">
      <c r="A1" s="1" t="s">
        <v>0</v>
      </c>
      <c r="B1" s="1" t="s">
        <v>3494</v>
      </c>
      <c r="C1" s="1" t="s">
        <v>3819</v>
      </c>
    </row>
    <row r="2" spans="1:3">
      <c r="A2" s="2" t="s">
        <v>3810</v>
      </c>
      <c r="B2" s="2">
        <v>59</v>
      </c>
      <c r="C2" s="7">
        <f>_xlfn.NORM.DIST(B2,$B$13,$B$14,1)</f>
        <v>5.2285496532186421E-2</v>
      </c>
    </row>
    <row r="3" spans="1:3">
      <c r="A3" s="2" t="s">
        <v>3808</v>
      </c>
      <c r="B3" s="2">
        <v>60</v>
      </c>
      <c r="C3" s="7">
        <f t="shared" ref="C3:C11" si="0">_xlfn.NORM.DIST(B3,$B$13,$B$14,1)</f>
        <v>0.12315733674588042</v>
      </c>
    </row>
    <row r="4" spans="1:3">
      <c r="A4" s="2" t="s">
        <v>3811</v>
      </c>
      <c r="B4" s="2">
        <v>61</v>
      </c>
      <c r="C4" s="7">
        <f t="shared" si="0"/>
        <v>0.24333706975464731</v>
      </c>
    </row>
    <row r="5" spans="1:3">
      <c r="A5" s="2" t="s">
        <v>3815</v>
      </c>
      <c r="B5" s="2">
        <v>61</v>
      </c>
      <c r="C5" s="7">
        <f t="shared" si="0"/>
        <v>0.24333706975464731</v>
      </c>
    </row>
    <row r="6" spans="1:3">
      <c r="A6" s="2" t="s">
        <v>3448</v>
      </c>
      <c r="B6" s="2">
        <v>62</v>
      </c>
      <c r="C6" s="7">
        <f t="shared" si="0"/>
        <v>0.40831970747037449</v>
      </c>
    </row>
    <row r="7" spans="1:3">
      <c r="A7" s="2" t="s">
        <v>3449</v>
      </c>
      <c r="B7" s="2">
        <v>63</v>
      </c>
      <c r="C7" s="7">
        <f t="shared" si="0"/>
        <v>0.59168029252962551</v>
      </c>
    </row>
    <row r="8" spans="1:3">
      <c r="A8" s="2" t="s">
        <v>3809</v>
      </c>
      <c r="B8" s="2">
        <v>64</v>
      </c>
      <c r="C8" s="7">
        <f t="shared" si="0"/>
        <v>0.75666293024535269</v>
      </c>
    </row>
    <row r="9" spans="1:3">
      <c r="A9" s="2" t="s">
        <v>3812</v>
      </c>
      <c r="B9" s="2">
        <v>64</v>
      </c>
      <c r="C9" s="7">
        <f t="shared" si="0"/>
        <v>0.75666293024535269</v>
      </c>
    </row>
    <row r="10" spans="1:3">
      <c r="A10" s="2" t="s">
        <v>3814</v>
      </c>
      <c r="B10" s="2">
        <v>65</v>
      </c>
      <c r="C10" s="7">
        <f t="shared" si="0"/>
        <v>0.87684266325411953</v>
      </c>
    </row>
    <row r="11" spans="1:3">
      <c r="A11" s="2" t="s">
        <v>3813</v>
      </c>
      <c r="B11" s="2">
        <v>66</v>
      </c>
      <c r="C11" s="7">
        <f t="shared" si="0"/>
        <v>0.94771450346781361</v>
      </c>
    </row>
    <row r="13" spans="1:3">
      <c r="A13" s="1" t="s">
        <v>3817</v>
      </c>
      <c r="B13" s="7">
        <f>AVERAGE(B2:B11)</f>
        <v>62.5</v>
      </c>
    </row>
    <row r="14" spans="1:3">
      <c r="A14" s="1" t="s">
        <v>3816</v>
      </c>
      <c r="B14" s="7">
        <f>_xlfn.STDEV.P(B2:B11)</f>
        <v>2.1563858652847827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0AF-CECA-44A7-879C-64C973D8F2B2}">
  <sheetPr codeName="Sheet448"/>
  <dimension ref="A1:E10"/>
  <sheetViews>
    <sheetView workbookViewId="0">
      <selection activeCell="E9" sqref="E9"/>
    </sheetView>
  </sheetViews>
  <sheetFormatPr defaultRowHeight="14.4"/>
  <cols>
    <col min="1" max="1" width="34.33203125" bestFit="1" customWidth="1"/>
    <col min="2" max="2" width="12.44140625" bestFit="1" customWidth="1"/>
    <col min="3" max="4" width="10.109375" bestFit="1" customWidth="1"/>
    <col min="5" max="5" width="11.88671875" bestFit="1" customWidth="1"/>
  </cols>
  <sheetData>
    <row r="1" spans="1:5">
      <c r="A1" s="369" t="s">
        <v>3805</v>
      </c>
      <c r="B1" s="369"/>
      <c r="C1" s="369"/>
      <c r="D1" s="369"/>
    </row>
    <row r="2" spans="1:5">
      <c r="A2" s="1" t="s">
        <v>622</v>
      </c>
      <c r="B2" s="1" t="s">
        <v>3749</v>
      </c>
      <c r="C2" s="1" t="s">
        <v>3756</v>
      </c>
      <c r="D2" s="1" t="s">
        <v>3759</v>
      </c>
    </row>
    <row r="3" spans="1:5">
      <c r="A3" s="2" t="s">
        <v>3796</v>
      </c>
      <c r="B3" s="7" t="s">
        <v>3216</v>
      </c>
      <c r="C3" s="2">
        <v>35</v>
      </c>
      <c r="D3" s="2">
        <v>35</v>
      </c>
    </row>
    <row r="4" spans="1:5">
      <c r="A4" s="2" t="s">
        <v>3804</v>
      </c>
      <c r="B4" s="7" t="s">
        <v>3793</v>
      </c>
      <c r="C4" s="2">
        <v>30</v>
      </c>
      <c r="D4" s="2">
        <v>30</v>
      </c>
    </row>
    <row r="5" spans="1:5">
      <c r="A5" s="2" t="s">
        <v>3797</v>
      </c>
      <c r="B5" s="7" t="s">
        <v>3794</v>
      </c>
      <c r="C5" s="2">
        <v>5</v>
      </c>
      <c r="D5" s="2">
        <v>5</v>
      </c>
    </row>
    <row r="6" spans="1:5">
      <c r="A6" s="2" t="s">
        <v>3798</v>
      </c>
      <c r="B6" s="7" t="s">
        <v>3795</v>
      </c>
      <c r="C6" s="2" t="b">
        <v>1</v>
      </c>
      <c r="D6" s="2" t="b">
        <v>0</v>
      </c>
    </row>
    <row r="7" spans="1:5">
      <c r="D7" s="14"/>
    </row>
    <row r="9" spans="1:5">
      <c r="A9" s="369" t="s">
        <v>3800</v>
      </c>
      <c r="B9" s="369"/>
      <c r="C9" s="369"/>
      <c r="D9" s="369"/>
      <c r="E9" s="7">
        <f>_xlfn.NORM.DIST(C3,C4,C5,C6)</f>
        <v>0.84134474606854304</v>
      </c>
    </row>
    <row r="10" spans="1:5">
      <c r="A10" s="369" t="s">
        <v>3801</v>
      </c>
      <c r="B10" s="369"/>
      <c r="C10" s="369"/>
      <c r="D10" s="369"/>
      <c r="E10" s="7">
        <f>_xlfn.NORM.DIST(D3,D4,D5,D6)</f>
        <v>4.8394144903828672E-2</v>
      </c>
    </row>
  </sheetData>
  <mergeCells count="3">
    <mergeCell ref="A1:D1"/>
    <mergeCell ref="A9:D9"/>
    <mergeCell ref="A10:D10"/>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C63E-9064-49EF-AD14-065166770CAD}">
  <sheetPr codeName="Sheet449"/>
  <dimension ref="A1:E10"/>
  <sheetViews>
    <sheetView workbookViewId="0">
      <selection activeCell="E9" sqref="E9"/>
    </sheetView>
  </sheetViews>
  <sheetFormatPr defaultRowHeight="14.4"/>
  <cols>
    <col min="1" max="1" width="34.33203125" bestFit="1" customWidth="1"/>
    <col min="2" max="2" width="12.44140625" bestFit="1" customWidth="1"/>
    <col min="3" max="4" width="10.109375" bestFit="1" customWidth="1"/>
    <col min="5" max="5" width="11.88671875" bestFit="1" customWidth="1"/>
  </cols>
  <sheetData>
    <row r="1" spans="1:5">
      <c r="A1" s="369" t="s">
        <v>3805</v>
      </c>
      <c r="B1" s="369"/>
      <c r="C1" s="369"/>
      <c r="D1" s="369"/>
    </row>
    <row r="2" spans="1:5">
      <c r="A2" s="1" t="s">
        <v>622</v>
      </c>
      <c r="B2" s="1" t="s">
        <v>3749</v>
      </c>
      <c r="C2" s="1" t="s">
        <v>3756</v>
      </c>
      <c r="D2" s="1" t="s">
        <v>3759</v>
      </c>
    </row>
    <row r="3" spans="1:5">
      <c r="A3" s="2" t="s">
        <v>3820</v>
      </c>
      <c r="B3" s="7" t="s">
        <v>3216</v>
      </c>
      <c r="C3" s="2">
        <v>95</v>
      </c>
      <c r="D3" s="2">
        <v>95</v>
      </c>
    </row>
    <row r="4" spans="1:5">
      <c r="A4" s="2" t="s">
        <v>3821</v>
      </c>
      <c r="B4" s="7" t="s">
        <v>3793</v>
      </c>
      <c r="C4" s="2">
        <v>75</v>
      </c>
      <c r="D4" s="2">
        <v>75</v>
      </c>
    </row>
    <row r="5" spans="1:5">
      <c r="A5" s="2" t="s">
        <v>3822</v>
      </c>
      <c r="B5" s="7" t="s">
        <v>3794</v>
      </c>
      <c r="C5" s="2">
        <v>10</v>
      </c>
      <c r="D5" s="2">
        <v>10</v>
      </c>
    </row>
    <row r="6" spans="1:5">
      <c r="A6" s="2" t="s">
        <v>3798</v>
      </c>
      <c r="B6" s="7" t="s">
        <v>3795</v>
      </c>
      <c r="C6" s="2" t="b">
        <v>1</v>
      </c>
      <c r="D6" s="2" t="b">
        <v>0</v>
      </c>
    </row>
    <row r="7" spans="1:5">
      <c r="D7" s="14"/>
    </row>
    <row r="9" spans="1:5">
      <c r="A9" s="369" t="s">
        <v>3800</v>
      </c>
      <c r="B9" s="369"/>
      <c r="C9" s="369"/>
      <c r="D9" s="369"/>
      <c r="E9" s="7">
        <f>_xlfn.NORM.DIST(C3,C4,C5,C6)</f>
        <v>0.97724986805182079</v>
      </c>
    </row>
    <row r="10" spans="1:5">
      <c r="A10" s="369" t="s">
        <v>3801</v>
      </c>
      <c r="B10" s="369"/>
      <c r="C10" s="369"/>
      <c r="D10" s="369"/>
      <c r="E10" s="7">
        <f>_xlfn.NORM.DIST(D3,D4,D5,D6)</f>
        <v>5.3990966513188061E-3</v>
      </c>
    </row>
  </sheetData>
  <mergeCells count="3">
    <mergeCell ref="A1:D1"/>
    <mergeCell ref="A9:D9"/>
    <mergeCell ref="A10:D10"/>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EFCA-3551-4A48-B1C8-4B3A590DBC98}">
  <sheetPr codeName="Sheet450"/>
  <dimension ref="A1:D9"/>
  <sheetViews>
    <sheetView workbookViewId="0">
      <selection activeCell="B2" sqref="B2"/>
    </sheetView>
  </sheetViews>
  <sheetFormatPr defaultRowHeight="14.4"/>
  <cols>
    <col min="1" max="1" width="34.33203125" bestFit="1" customWidth="1"/>
    <col min="2" max="2" width="12.88671875" customWidth="1"/>
    <col min="3" max="3" width="6.88671875" customWidth="1"/>
    <col min="4" max="4" width="11.88671875" bestFit="1" customWidth="1"/>
  </cols>
  <sheetData>
    <row r="1" spans="1:4">
      <c r="A1" s="371" t="s">
        <v>3806</v>
      </c>
      <c r="B1" s="372"/>
      <c r="C1" s="373"/>
    </row>
    <row r="2" spans="1:4">
      <c r="A2" s="1" t="s">
        <v>622</v>
      </c>
      <c r="B2" s="1" t="s">
        <v>3749</v>
      </c>
      <c r="C2" s="1" t="s">
        <v>1727</v>
      </c>
    </row>
    <row r="3" spans="1:4">
      <c r="A3" s="2" t="s">
        <v>3796</v>
      </c>
      <c r="B3" s="7" t="s">
        <v>3216</v>
      </c>
      <c r="C3" s="2">
        <v>200</v>
      </c>
    </row>
    <row r="4" spans="1:4">
      <c r="A4" s="2" t="s">
        <v>3804</v>
      </c>
      <c r="B4" s="7" t="s">
        <v>3793</v>
      </c>
      <c r="C4" s="2">
        <v>150</v>
      </c>
    </row>
    <row r="5" spans="1:4">
      <c r="A5" s="2" t="s">
        <v>3797</v>
      </c>
      <c r="B5" s="7" t="s">
        <v>3794</v>
      </c>
      <c r="C5" s="2">
        <v>55</v>
      </c>
    </row>
    <row r="6" spans="1:4">
      <c r="A6" s="2" t="s">
        <v>3798</v>
      </c>
      <c r="B6" s="7" t="s">
        <v>3795</v>
      </c>
      <c r="C6" s="2" t="b">
        <v>1</v>
      </c>
    </row>
    <row r="9" spans="1:4">
      <c r="A9" s="371" t="s">
        <v>3807</v>
      </c>
      <c r="B9" s="372"/>
      <c r="C9" s="373"/>
      <c r="D9" s="7">
        <v>0.81834892955655103</v>
      </c>
    </row>
  </sheetData>
  <mergeCells count="2">
    <mergeCell ref="A1:C1"/>
    <mergeCell ref="A9:C9"/>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62A6-8AF5-4F79-BE81-D6E1E2CE0340}">
  <sheetPr codeName="Sheet451"/>
  <dimension ref="A1:D7"/>
  <sheetViews>
    <sheetView workbookViewId="0">
      <selection activeCell="C2" sqref="C2"/>
    </sheetView>
  </sheetViews>
  <sheetFormatPr defaultRowHeight="14.4"/>
  <cols>
    <col min="3" max="3" width="17.44140625" bestFit="1" customWidth="1"/>
    <col min="4" max="4" width="28.33203125" bestFit="1" customWidth="1"/>
  </cols>
  <sheetData>
    <row r="1" spans="1:4">
      <c r="A1" s="1" t="s">
        <v>153</v>
      </c>
      <c r="B1" s="1" t="s">
        <v>3823</v>
      </c>
      <c r="C1" s="1" t="s">
        <v>3824</v>
      </c>
      <c r="D1" s="1" t="s">
        <v>1570</v>
      </c>
    </row>
    <row r="2" spans="1:4">
      <c r="A2" s="2">
        <v>500</v>
      </c>
      <c r="B2" s="2">
        <v>100</v>
      </c>
      <c r="C2" s="7">
        <f t="shared" ref="C2:C7" si="0">MOD(A2,B2)</f>
        <v>0</v>
      </c>
      <c r="D2" s="65" t="s">
        <v>3825</v>
      </c>
    </row>
    <row r="3" spans="1:4">
      <c r="A3" s="2">
        <v>25</v>
      </c>
      <c r="B3" s="2">
        <v>9</v>
      </c>
      <c r="C3" s="7">
        <f t="shared" si="0"/>
        <v>7</v>
      </c>
      <c r="D3" s="65" t="s">
        <v>3826</v>
      </c>
    </row>
    <row r="4" spans="1:4">
      <c r="A4" s="2">
        <v>1</v>
      </c>
      <c r="B4" s="2">
        <v>2</v>
      </c>
      <c r="C4" s="7">
        <f t="shared" si="0"/>
        <v>1</v>
      </c>
      <c r="D4" s="65" t="s">
        <v>3827</v>
      </c>
    </row>
    <row r="5" spans="1:4">
      <c r="A5" s="2">
        <v>-333</v>
      </c>
      <c r="B5" s="2">
        <v>7</v>
      </c>
      <c r="C5" s="7">
        <f t="shared" si="0"/>
        <v>3</v>
      </c>
      <c r="D5" s="65" t="s">
        <v>3828</v>
      </c>
    </row>
    <row r="6" spans="1:4">
      <c r="A6" s="2">
        <v>109</v>
      </c>
      <c r="B6" s="2">
        <v>-10</v>
      </c>
      <c r="C6" s="7">
        <f t="shared" si="0"/>
        <v>-1</v>
      </c>
      <c r="D6" s="65" t="s">
        <v>2228</v>
      </c>
    </row>
    <row r="7" spans="1:4">
      <c r="A7" s="2">
        <v>0.99</v>
      </c>
      <c r="B7" s="2">
        <v>0.3</v>
      </c>
      <c r="C7" s="7">
        <f t="shared" si="0"/>
        <v>9.0000000000000024E-2</v>
      </c>
      <c r="D7" s="65" t="s">
        <v>3829</v>
      </c>
    </row>
  </sheetData>
  <pageMargins left="0.7" right="0.7" top="0.75" bottom="0.75" header="0.3" footer="0.3"/>
  <pageSetup orientation="portrait" horizontalDpi="4294967293" verticalDpi="0"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E7C5-C9F5-4204-ADBA-C00AC3FD917B}">
  <sheetPr codeName="Sheet452"/>
  <dimension ref="A1:C6"/>
  <sheetViews>
    <sheetView workbookViewId="0">
      <selection activeCell="C2" sqref="C2"/>
    </sheetView>
  </sheetViews>
  <sheetFormatPr defaultRowHeight="14.4"/>
  <cols>
    <col min="3" max="3" width="38.33203125" bestFit="1" customWidth="1"/>
  </cols>
  <sheetData>
    <row r="1" spans="1:3">
      <c r="A1" s="1" t="s">
        <v>153</v>
      </c>
      <c r="B1" s="1" t="s">
        <v>3823</v>
      </c>
      <c r="C1" s="1" t="s">
        <v>3830</v>
      </c>
    </row>
    <row r="2" spans="1:3">
      <c r="A2" s="2">
        <v>130</v>
      </c>
      <c r="B2" s="2">
        <v>10</v>
      </c>
      <c r="C2" s="7">
        <f>MOD(A2,B2)</f>
        <v>0</v>
      </c>
    </row>
    <row r="3" spans="1:3">
      <c r="A3" s="2">
        <v>150</v>
      </c>
      <c r="B3" s="2">
        <v>30</v>
      </c>
      <c r="C3" s="7">
        <f>MOD(A3,B3)</f>
        <v>0</v>
      </c>
    </row>
    <row r="4" spans="1:3">
      <c r="A4" s="2">
        <v>170</v>
      </c>
      <c r="B4" s="2">
        <v>-50</v>
      </c>
      <c r="C4" s="7">
        <f>MOD(A4,B4)</f>
        <v>-30</v>
      </c>
    </row>
    <row r="5" spans="1:3">
      <c r="A5" s="2">
        <v>190</v>
      </c>
      <c r="B5" s="2">
        <v>70</v>
      </c>
      <c r="C5" s="7">
        <f>MOD(A5,B5)</f>
        <v>50</v>
      </c>
    </row>
    <row r="6" spans="1:3">
      <c r="A6" s="2">
        <v>-210</v>
      </c>
      <c r="B6" s="2">
        <v>90</v>
      </c>
      <c r="C6" s="7">
        <f>MOD(A6,B6)</f>
        <v>60</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4C14-8829-49DD-B4F5-E05C45172DEC}">
  <sheetPr codeName="Sheet453"/>
  <dimension ref="A1:N9"/>
  <sheetViews>
    <sheetView workbookViewId="0">
      <selection activeCell="C2" sqref="C2"/>
    </sheetView>
  </sheetViews>
  <sheetFormatPr defaultRowHeight="14.4"/>
  <cols>
    <col min="1" max="1" width="11.33203125" bestFit="1" customWidth="1"/>
    <col min="2" max="2" width="11.33203125" customWidth="1"/>
    <col min="4" max="4" width="46.88671875" bestFit="1" customWidth="1"/>
  </cols>
  <sheetData>
    <row r="1" spans="1:14">
      <c r="A1" s="1" t="s">
        <v>354</v>
      </c>
      <c r="B1" s="1" t="s">
        <v>706</v>
      </c>
      <c r="C1" s="1" t="s">
        <v>357</v>
      </c>
      <c r="D1" s="1" t="s">
        <v>3843</v>
      </c>
    </row>
    <row r="2" spans="1:14">
      <c r="A2" s="2" t="s">
        <v>340</v>
      </c>
      <c r="B2" s="20">
        <v>44576</v>
      </c>
      <c r="C2" s="2">
        <v>500</v>
      </c>
      <c r="D2" s="7" t="str">
        <f>IF(MONTH(B2)=2,IF(MOD(C2,2)=0,"Even Order","Odd Order"),"")</f>
        <v/>
      </c>
    </row>
    <row r="3" spans="1:14">
      <c r="A3" s="2" t="s">
        <v>342</v>
      </c>
      <c r="B3" s="20">
        <v>44585</v>
      </c>
      <c r="C3" s="2">
        <v>255</v>
      </c>
      <c r="D3" s="7" t="str">
        <f t="shared" ref="D3:D8" si="0">IF(MONTH(B3)=2,IF(MOD(C3,2)=0,"Even Order","Odd Order"),"")</f>
        <v/>
      </c>
    </row>
    <row r="4" spans="1:14">
      <c r="A4" s="2" t="s">
        <v>3831</v>
      </c>
      <c r="B4" s="20">
        <v>44595</v>
      </c>
      <c r="C4" s="2">
        <v>340</v>
      </c>
      <c r="D4" s="7" t="str">
        <f t="shared" si="0"/>
        <v>Even Order</v>
      </c>
    </row>
    <row r="5" spans="1:14">
      <c r="A5" s="2" t="s">
        <v>340</v>
      </c>
      <c r="B5" s="20">
        <v>44602</v>
      </c>
      <c r="C5" s="2">
        <v>235</v>
      </c>
      <c r="D5" s="7" t="str">
        <f t="shared" si="0"/>
        <v>Odd Order</v>
      </c>
    </row>
    <row r="6" spans="1:14">
      <c r="A6" s="2" t="s">
        <v>342</v>
      </c>
      <c r="B6" s="20">
        <v>44612</v>
      </c>
      <c r="C6" s="2">
        <v>210</v>
      </c>
      <c r="D6" s="7" t="str">
        <f t="shared" si="0"/>
        <v>Even Order</v>
      </c>
    </row>
    <row r="7" spans="1:14">
      <c r="A7" s="2" t="s">
        <v>343</v>
      </c>
      <c r="B7" s="20">
        <v>44613</v>
      </c>
      <c r="C7" s="2">
        <v>556</v>
      </c>
      <c r="D7" s="7" t="str">
        <f t="shared" si="0"/>
        <v>Even Order</v>
      </c>
    </row>
    <row r="8" spans="1:14">
      <c r="A8" s="2" t="s">
        <v>340</v>
      </c>
      <c r="B8" s="20">
        <v>44617</v>
      </c>
      <c r="C8" s="2">
        <v>108</v>
      </c>
      <c r="D8" s="7" t="str">
        <f t="shared" si="0"/>
        <v>Even Order</v>
      </c>
    </row>
    <row r="9" spans="1:14">
      <c r="N9" s="55" t="str">
        <f>IF(MONTH(B2)=2,IF(MOD(C2,2)=0,"Even Order","Odd Order"),"")</f>
        <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B321C-E43C-4DE1-B317-99B472D0E3FE}">
  <sheetPr codeName="Sheet454"/>
  <dimension ref="A1:O13"/>
  <sheetViews>
    <sheetView zoomScaleNormal="100" workbookViewId="0">
      <selection activeCell="C2" sqref="C2"/>
    </sheetView>
  </sheetViews>
  <sheetFormatPr defaultRowHeight="14.4"/>
  <cols>
    <col min="1" max="1" width="8.5546875" customWidth="1"/>
    <col min="8" max="8" width="16.33203125" bestFit="1" customWidth="1"/>
    <col min="15" max="15" width="16.6640625" customWidth="1"/>
  </cols>
  <sheetData>
    <row r="1" spans="1:15" ht="28.8">
      <c r="A1" s="8" t="s">
        <v>3832</v>
      </c>
      <c r="B1" s="1" t="s">
        <v>307</v>
      </c>
      <c r="C1" s="1" t="s">
        <v>308</v>
      </c>
      <c r="D1" s="1" t="s">
        <v>309</v>
      </c>
      <c r="E1" s="1" t="s">
        <v>310</v>
      </c>
      <c r="F1" s="1" t="s">
        <v>51</v>
      </c>
      <c r="G1" s="1" t="s">
        <v>311</v>
      </c>
      <c r="H1" s="8" t="s">
        <v>3841</v>
      </c>
      <c r="I1" s="1" t="s">
        <v>312</v>
      </c>
      <c r="J1" s="1" t="s">
        <v>313</v>
      </c>
      <c r="K1" s="1" t="s">
        <v>314</v>
      </c>
      <c r="L1" s="1" t="s">
        <v>315</v>
      </c>
      <c r="M1" s="1" t="s">
        <v>316</v>
      </c>
      <c r="N1" s="1" t="s">
        <v>317</v>
      </c>
      <c r="O1" s="8" t="s">
        <v>3842</v>
      </c>
    </row>
    <row r="2" spans="1:15">
      <c r="A2" s="2" t="s">
        <v>3833</v>
      </c>
      <c r="B2" s="83">
        <v>1000</v>
      </c>
      <c r="C2" s="83">
        <v>1200</v>
      </c>
      <c r="D2" s="83">
        <v>900</v>
      </c>
      <c r="E2" s="83">
        <v>1000</v>
      </c>
      <c r="F2" s="83">
        <v>1300</v>
      </c>
      <c r="G2" s="83">
        <v>1500</v>
      </c>
      <c r="H2" s="83">
        <f>SUM(B2:G2)</f>
        <v>6900</v>
      </c>
      <c r="I2" s="83">
        <v>1250</v>
      </c>
      <c r="J2" s="83">
        <v>1560</v>
      </c>
      <c r="K2" s="83">
        <v>1900</v>
      </c>
      <c r="L2" s="83">
        <v>1430</v>
      </c>
      <c r="M2" s="83">
        <v>1240</v>
      </c>
      <c r="N2" s="83">
        <v>1590</v>
      </c>
      <c r="O2" s="83">
        <f>SUM(I2:N2)</f>
        <v>8970</v>
      </c>
    </row>
    <row r="3" spans="1:15">
      <c r="A3" s="2" t="s">
        <v>3834</v>
      </c>
      <c r="B3" s="83">
        <v>950</v>
      </c>
      <c r="C3" s="83">
        <v>1300</v>
      </c>
      <c r="D3" s="83">
        <v>1345</v>
      </c>
      <c r="E3" s="83">
        <v>1500</v>
      </c>
      <c r="F3" s="83">
        <v>1250</v>
      </c>
      <c r="G3" s="83">
        <v>1100</v>
      </c>
      <c r="H3" s="83">
        <f>SUM(B3:G3)</f>
        <v>7445</v>
      </c>
      <c r="I3" s="83">
        <v>1500</v>
      </c>
      <c r="J3" s="83">
        <v>1980</v>
      </c>
      <c r="K3" s="83">
        <v>1750</v>
      </c>
      <c r="L3" s="83">
        <v>1370</v>
      </c>
      <c r="M3" s="83">
        <v>1480</v>
      </c>
      <c r="N3" s="83">
        <v>1640</v>
      </c>
      <c r="O3" s="83">
        <f>SUM(I3:N3)</f>
        <v>9720</v>
      </c>
    </row>
    <row r="4" spans="1:15">
      <c r="A4" s="2" t="s">
        <v>3835</v>
      </c>
      <c r="B4" s="83">
        <v>1250</v>
      </c>
      <c r="C4" s="83">
        <v>1390</v>
      </c>
      <c r="D4" s="83">
        <v>1000</v>
      </c>
      <c r="E4" s="83">
        <v>1240</v>
      </c>
      <c r="F4" s="83">
        <v>1110</v>
      </c>
      <c r="G4" s="83">
        <v>1400</v>
      </c>
      <c r="H4" s="83">
        <f>SUM(B4:G4)</f>
        <v>7390</v>
      </c>
      <c r="I4" s="83">
        <v>1850</v>
      </c>
      <c r="J4" s="83">
        <v>1490</v>
      </c>
      <c r="K4" s="83">
        <v>1930</v>
      </c>
      <c r="L4" s="83">
        <v>1250</v>
      </c>
      <c r="M4" s="83">
        <v>1140</v>
      </c>
      <c r="N4" s="83">
        <v>1630</v>
      </c>
      <c r="O4" s="83">
        <f>SUM(I4:N4)</f>
        <v>9290</v>
      </c>
    </row>
    <row r="5" spans="1:15">
      <c r="A5" s="2" t="s">
        <v>3836</v>
      </c>
      <c r="B5" s="83">
        <v>1320</v>
      </c>
      <c r="C5" s="83">
        <v>1540</v>
      </c>
      <c r="D5" s="83">
        <v>1290</v>
      </c>
      <c r="E5" s="83">
        <v>1150</v>
      </c>
      <c r="F5" s="83">
        <v>1440</v>
      </c>
      <c r="G5" s="83">
        <v>1230</v>
      </c>
      <c r="H5" s="83">
        <f>SUM(B5:G5)</f>
        <v>7970</v>
      </c>
      <c r="I5" s="83">
        <v>1420</v>
      </c>
      <c r="J5" s="83">
        <v>1580</v>
      </c>
      <c r="K5" s="83">
        <v>1740</v>
      </c>
      <c r="L5" s="83">
        <v>1630</v>
      </c>
      <c r="M5" s="83">
        <v>1930</v>
      </c>
      <c r="N5" s="83">
        <v>1000</v>
      </c>
      <c r="O5" s="83">
        <f>SUM(I5:N5)</f>
        <v>9300</v>
      </c>
    </row>
    <row r="9" spans="1:15" ht="43.2">
      <c r="A9" s="8" t="s">
        <v>3832</v>
      </c>
      <c r="B9" s="8" t="s">
        <v>3837</v>
      </c>
    </row>
    <row r="10" spans="1:15">
      <c r="A10" s="2" t="s">
        <v>3833</v>
      </c>
      <c r="B10" s="87">
        <f>SUMPRODUCT((MOD(COLUMN($B2:$O2)-COLUMN($B2)+1,7)=0)*($B2:$O2))</f>
        <v>15870</v>
      </c>
    </row>
    <row r="11" spans="1:15">
      <c r="A11" s="2" t="s">
        <v>3834</v>
      </c>
      <c r="B11" s="87">
        <f>SUMPRODUCT((MOD(COLUMN($B3:$O3)-COLUMN($B3)+1,7)=0)*($B3:$O3))</f>
        <v>17165</v>
      </c>
    </row>
    <row r="12" spans="1:15">
      <c r="A12" s="2" t="s">
        <v>3835</v>
      </c>
      <c r="B12" s="87">
        <f>SUMPRODUCT((MOD(COLUMN($B4:$O4)-COLUMN($B4)+1,7)=0)*($B4:$O4))</f>
        <v>16680</v>
      </c>
    </row>
    <row r="13" spans="1:15">
      <c r="A13" s="2" t="s">
        <v>3836</v>
      </c>
      <c r="B13" s="87">
        <f>SUMPRODUCT((MOD(COLUMN($B5:$O5)-COLUMN($B5)+1,7)=0)*($B5:$O5))</f>
        <v>17270</v>
      </c>
    </row>
  </sheetData>
  <pageMargins left="0.7" right="0.7" top="0.75" bottom="0.75" header="0.3" footer="0.3"/>
  <pageSetup orientation="portrait" horizontalDpi="4294967293" verticalDpi="0"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306-4367-48D9-ACE3-B67F33234B0E}">
  <sheetPr codeName="Sheet455"/>
  <dimension ref="A1:C11"/>
  <sheetViews>
    <sheetView workbookViewId="0">
      <selection activeCell="C2" sqref="C2"/>
    </sheetView>
  </sheetViews>
  <sheetFormatPr defaultRowHeight="14.4"/>
  <cols>
    <col min="3" max="3" width="25.5546875" bestFit="1" customWidth="1"/>
  </cols>
  <sheetData>
    <row r="1" spans="1:3">
      <c r="A1" s="1" t="s">
        <v>153</v>
      </c>
      <c r="C1" s="1" t="s">
        <v>3838</v>
      </c>
    </row>
    <row r="2" spans="1:3">
      <c r="A2" s="2">
        <v>483</v>
      </c>
      <c r="C2" s="2">
        <v>21</v>
      </c>
    </row>
    <row r="3" spans="1:3">
      <c r="A3" s="2">
        <v>133</v>
      </c>
    </row>
    <row r="4" spans="1:3">
      <c r="A4" s="2">
        <v>149</v>
      </c>
    </row>
    <row r="5" spans="1:3">
      <c r="A5" s="2">
        <v>315</v>
      </c>
    </row>
    <row r="6" spans="1:3">
      <c r="A6" s="2">
        <v>525</v>
      </c>
    </row>
    <row r="7" spans="1:3">
      <c r="A7" s="2">
        <v>655</v>
      </c>
    </row>
    <row r="8" spans="1:3">
      <c r="A8" s="2">
        <v>231</v>
      </c>
    </row>
    <row r="9" spans="1:3">
      <c r="A9" s="2">
        <v>189</v>
      </c>
    </row>
    <row r="10" spans="1:3">
      <c r="A10" s="2">
        <v>84</v>
      </c>
    </row>
    <row r="11" spans="1:3">
      <c r="A11" s="2">
        <v>294</v>
      </c>
    </row>
  </sheetData>
  <conditionalFormatting sqref="A2:A11">
    <cfRule type="expression" dxfId="4" priority="1">
      <formula>MOD(A2,$C$2)=0</formula>
    </cfRule>
  </conditionalFormatting>
  <pageMargins left="0.7" right="0.7" top="0.75" bottom="0.75" header="0.3" footer="0.3"/>
  <pageSetup orientation="portrait" horizontalDpi="4294967293" verticalDpi="0"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AAA9-EE20-4E8F-8857-FED295E543A2}">
  <sheetPr codeName="Sheet456"/>
  <dimension ref="A1:B14"/>
  <sheetViews>
    <sheetView workbookViewId="0"/>
  </sheetViews>
  <sheetFormatPr defaultRowHeight="14.4"/>
  <cols>
    <col min="1" max="1" width="15" customWidth="1"/>
  </cols>
  <sheetData>
    <row r="1" spans="1:2">
      <c r="A1" s="1" t="s">
        <v>1727</v>
      </c>
    </row>
    <row r="2" spans="1:2">
      <c r="A2" s="2">
        <v>11</v>
      </c>
    </row>
    <row r="3" spans="1:2">
      <c r="A3" s="2">
        <v>20</v>
      </c>
    </row>
    <row r="4" spans="1:2">
      <c r="A4" s="2">
        <v>33</v>
      </c>
    </row>
    <row r="5" spans="1:2">
      <c r="A5" s="2">
        <v>45</v>
      </c>
    </row>
    <row r="6" spans="1:2">
      <c r="A6" s="2">
        <v>59</v>
      </c>
    </row>
    <row r="7" spans="1:2">
      <c r="A7" s="2">
        <v>66</v>
      </c>
    </row>
    <row r="8" spans="1:2">
      <c r="A8" s="2">
        <v>73</v>
      </c>
    </row>
    <row r="9" spans="1:2">
      <c r="A9" s="2">
        <v>87</v>
      </c>
    </row>
    <row r="10" spans="1:2">
      <c r="A10" s="2">
        <v>90</v>
      </c>
    </row>
    <row r="11" spans="1:2">
      <c r="A11" s="2">
        <v>110</v>
      </c>
    </row>
    <row r="13" spans="1:2" ht="28.8">
      <c r="A13" s="8" t="s">
        <v>3839</v>
      </c>
      <c r="B13" s="47">
        <f>SUMPRODUCT((MOD(A2:A11,2)=0)*1)</f>
        <v>4</v>
      </c>
    </row>
    <row r="14" spans="1:2" ht="28.8">
      <c r="A14" s="8" t="s">
        <v>3840</v>
      </c>
      <c r="B14" s="47">
        <f>SUMPRODUCT((MOD(A2:A11,2)=1)*1)</f>
        <v>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FCFA-9A6C-48BD-A746-7EB6601FBA15}">
  <sheetPr codeName="Sheet457"/>
  <dimension ref="A1:E5"/>
  <sheetViews>
    <sheetView workbookViewId="0">
      <selection activeCell="F10" sqref="F10"/>
    </sheetView>
  </sheetViews>
  <sheetFormatPr defaultRowHeight="14.4"/>
  <cols>
    <col min="1" max="1" width="30.44140625" bestFit="1" customWidth="1"/>
    <col min="2" max="2" width="7.5546875" bestFit="1" customWidth="1"/>
    <col min="3" max="3" width="5.88671875" customWidth="1"/>
    <col min="4" max="4" width="15.88671875" bestFit="1" customWidth="1"/>
    <col min="5" max="5" width="27.44140625" bestFit="1" customWidth="1"/>
  </cols>
  <sheetData>
    <row r="1" spans="1:5">
      <c r="A1" s="1" t="s">
        <v>622</v>
      </c>
      <c r="B1" s="1" t="s">
        <v>153</v>
      </c>
      <c r="C1" s="1" t="s">
        <v>320</v>
      </c>
      <c r="D1" s="1" t="s">
        <v>3850</v>
      </c>
      <c r="E1" s="1" t="s">
        <v>1977</v>
      </c>
    </row>
    <row r="2" spans="1:5">
      <c r="A2" s="2" t="s">
        <v>3848</v>
      </c>
      <c r="B2" s="2">
        <v>121</v>
      </c>
      <c r="C2" s="2">
        <v>11</v>
      </c>
      <c r="D2" s="7">
        <f>LOG(B2,C2)</f>
        <v>2</v>
      </c>
      <c r="E2" s="65" t="s">
        <v>3844</v>
      </c>
    </row>
    <row r="3" spans="1:5">
      <c r="A3" s="2" t="s">
        <v>3849</v>
      </c>
      <c r="B3" s="2">
        <v>625</v>
      </c>
      <c r="C3" s="2">
        <v>5</v>
      </c>
      <c r="D3" s="7">
        <f>LOG(B3,C3)</f>
        <v>4</v>
      </c>
      <c r="E3" s="65" t="s">
        <v>3845</v>
      </c>
    </row>
    <row r="4" spans="1:5">
      <c r="A4" s="2" t="s">
        <v>3863</v>
      </c>
      <c r="B4" s="2">
        <v>100000</v>
      </c>
      <c r="C4" s="2">
        <v>10</v>
      </c>
      <c r="D4" s="7">
        <f>LOG(B4)</f>
        <v>5</v>
      </c>
      <c r="E4" s="65" t="s">
        <v>3846</v>
      </c>
    </row>
    <row r="5" spans="1:5">
      <c r="A5" s="2" t="s">
        <v>3864</v>
      </c>
      <c r="B5" s="2">
        <v>1500</v>
      </c>
      <c r="C5" s="2">
        <v>2.5</v>
      </c>
      <c r="D5" s="7">
        <f>LOG(B5,C5)</f>
        <v>7.9813318335459398</v>
      </c>
      <c r="E5" s="65" t="s">
        <v>3847</v>
      </c>
    </row>
  </sheetData>
  <pageMargins left="0.7" right="0.7" top="0.75" bottom="0.75" header="0.3" footer="0.3"/>
  <pageSetup orientation="portrait" horizontalDpi="4294967293" verticalDpi="0" r:id="rId1"/>
  <ignoredErrors>
    <ignoredError sqref="D4" formula="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F596-6865-4BAC-BF16-A048BBB9E4AF}">
  <sheetPr codeName="Sheet458"/>
  <dimension ref="A1:C6"/>
  <sheetViews>
    <sheetView workbookViewId="0">
      <selection activeCell="F10" sqref="F10"/>
    </sheetView>
  </sheetViews>
  <sheetFormatPr defaultRowHeight="14.4"/>
  <cols>
    <col min="1" max="1" width="8" customWidth="1"/>
    <col min="2" max="2" width="8.5546875" customWidth="1"/>
    <col min="3" max="3" width="10.44140625" customWidth="1"/>
    <col min="14" max="14" width="11.88671875" bestFit="1" customWidth="1"/>
  </cols>
  <sheetData>
    <row r="1" spans="1:3">
      <c r="A1" s="1" t="s">
        <v>153</v>
      </c>
      <c r="B1" s="1" t="s">
        <v>320</v>
      </c>
      <c r="C1" s="1" t="s">
        <v>3850</v>
      </c>
    </row>
    <row r="2" spans="1:3">
      <c r="A2" s="2">
        <v>1024</v>
      </c>
      <c r="B2" s="2">
        <v>2</v>
      </c>
      <c r="C2" s="7">
        <f>LOG(A2,B2)</f>
        <v>10</v>
      </c>
    </row>
    <row r="3" spans="1:3">
      <c r="A3" s="2">
        <v>27</v>
      </c>
      <c r="B3" s="2">
        <v>3</v>
      </c>
      <c r="C3" s="7">
        <f>LOG(A3,B3)</f>
        <v>3</v>
      </c>
    </row>
    <row r="4" spans="1:3">
      <c r="A4" s="2">
        <v>15625</v>
      </c>
      <c r="B4" s="2">
        <v>5</v>
      </c>
      <c r="C4" s="7">
        <f>LOG(A4,B4)</f>
        <v>6.0000000000000009</v>
      </c>
    </row>
    <row r="5" spans="1:3">
      <c r="A5" s="2">
        <v>2</v>
      </c>
      <c r="B5" s="2">
        <v>100</v>
      </c>
      <c r="C5" s="7">
        <f>LOG(A5,B5)</f>
        <v>0.15051499783199057</v>
      </c>
    </row>
    <row r="6" spans="1:3">
      <c r="A6" s="2">
        <v>0.64</v>
      </c>
      <c r="B6" s="2">
        <v>4</v>
      </c>
      <c r="C6" s="7">
        <f>LOG(A6,B6)</f>
        <v>-0.32192809488736235</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5E42-7E59-4975-A5BE-C7CFF9D5F357}">
  <sheetPr codeName="Sheet459"/>
  <dimension ref="A1:L11"/>
  <sheetViews>
    <sheetView workbookViewId="0">
      <selection activeCell="F10" sqref="F10"/>
    </sheetView>
  </sheetViews>
  <sheetFormatPr defaultRowHeight="14.4"/>
  <cols>
    <col min="1" max="2" width="10.88671875" bestFit="1" customWidth="1"/>
    <col min="3" max="9" width="8.6640625" customWidth="1"/>
    <col min="11" max="11" width="59.44140625" bestFit="1" customWidth="1"/>
    <col min="12" max="12" width="7.33203125" customWidth="1"/>
  </cols>
  <sheetData>
    <row r="1" spans="1:12">
      <c r="A1" s="1" t="s">
        <v>3851</v>
      </c>
      <c r="B1" s="1" t="s">
        <v>3852</v>
      </c>
      <c r="K1" s="369" t="s">
        <v>3853</v>
      </c>
      <c r="L1" s="369"/>
    </row>
    <row r="2" spans="1:12">
      <c r="A2" s="2">
        <v>1</v>
      </c>
      <c r="B2" s="2">
        <v>21</v>
      </c>
      <c r="C2" s="14"/>
      <c r="D2" s="14"/>
      <c r="E2" s="14"/>
      <c r="F2" s="14"/>
      <c r="G2" s="14"/>
      <c r="H2" s="14"/>
      <c r="I2" s="14"/>
      <c r="K2" s="1" t="s">
        <v>2887</v>
      </c>
      <c r="L2" s="1" t="s">
        <v>1727</v>
      </c>
    </row>
    <row r="3" spans="1:12">
      <c r="A3" s="2">
        <v>2</v>
      </c>
      <c r="B3" s="2">
        <v>30</v>
      </c>
      <c r="C3" s="14"/>
      <c r="D3" s="14"/>
      <c r="E3" s="14"/>
      <c r="F3" s="14"/>
      <c r="G3" s="14"/>
      <c r="H3" s="14"/>
      <c r="I3" s="14"/>
      <c r="K3" s="2" t="s">
        <v>3509</v>
      </c>
      <c r="L3" s="7">
        <v>7.5</v>
      </c>
    </row>
    <row r="4" spans="1:12">
      <c r="A4" s="2">
        <v>3</v>
      </c>
      <c r="B4" s="2">
        <v>39</v>
      </c>
      <c r="C4" s="14"/>
      <c r="D4" s="14"/>
      <c r="E4" s="14"/>
      <c r="F4" s="14"/>
      <c r="G4" s="14"/>
      <c r="H4" s="14"/>
      <c r="I4" s="14"/>
      <c r="K4" s="2" t="s">
        <v>3854</v>
      </c>
      <c r="L4" s="7">
        <f>LOG(L3,EXP(1))</f>
        <v>2.0149030205422647</v>
      </c>
    </row>
    <row r="5" spans="1:12">
      <c r="A5" s="2">
        <v>4</v>
      </c>
      <c r="B5" s="2">
        <v>44</v>
      </c>
      <c r="C5" s="14"/>
      <c r="D5" s="14"/>
      <c r="E5" s="14"/>
      <c r="F5" s="14"/>
      <c r="G5" s="14"/>
      <c r="H5" s="14"/>
      <c r="I5" s="14"/>
      <c r="K5" s="2" t="s">
        <v>3855</v>
      </c>
      <c r="L5" s="7">
        <v>17.422999999999998</v>
      </c>
    </row>
    <row r="6" spans="1:12">
      <c r="A6" s="2">
        <v>5</v>
      </c>
      <c r="B6" s="2">
        <v>49</v>
      </c>
      <c r="C6" s="14"/>
      <c r="D6" s="14"/>
      <c r="E6" s="14"/>
      <c r="F6" s="14"/>
      <c r="G6" s="14"/>
      <c r="H6" s="14"/>
      <c r="I6" s="14"/>
      <c r="K6" s="2" t="s">
        <v>3856</v>
      </c>
      <c r="L6" s="7">
        <v>20.905999999999999</v>
      </c>
    </row>
    <row r="7" spans="1:12">
      <c r="A7" s="2">
        <v>6</v>
      </c>
      <c r="B7" s="2">
        <v>54</v>
      </c>
      <c r="C7" s="14"/>
      <c r="D7" s="14"/>
      <c r="E7" s="14"/>
      <c r="F7" s="14"/>
      <c r="G7" s="14"/>
      <c r="H7" s="14"/>
      <c r="I7" s="14"/>
      <c r="K7" s="2"/>
      <c r="L7" s="7"/>
    </row>
    <row r="8" spans="1:12">
      <c r="A8" s="2">
        <v>7</v>
      </c>
      <c r="B8" s="2">
        <v>58</v>
      </c>
      <c r="C8" s="14"/>
      <c r="D8" s="14"/>
      <c r="E8" s="14"/>
      <c r="F8" s="14"/>
      <c r="G8" s="14"/>
      <c r="H8" s="14"/>
      <c r="I8" s="14"/>
      <c r="K8" s="1" t="s">
        <v>3857</v>
      </c>
      <c r="L8" s="7">
        <f>L6*L4+L5</f>
        <v>59.546562547456574</v>
      </c>
    </row>
    <row r="9" spans="1:12">
      <c r="A9" s="2">
        <v>8</v>
      </c>
      <c r="B9" s="2">
        <v>63</v>
      </c>
      <c r="C9" s="14"/>
      <c r="D9" s="14"/>
      <c r="E9" s="14"/>
      <c r="F9" s="14"/>
      <c r="G9" s="14"/>
      <c r="H9" s="14"/>
      <c r="I9" s="14"/>
    </row>
    <row r="10" spans="1:12">
      <c r="A10" s="2">
        <v>9</v>
      </c>
      <c r="B10" s="2">
        <v>65</v>
      </c>
      <c r="C10" s="14"/>
      <c r="D10" s="14"/>
      <c r="E10" s="14"/>
      <c r="F10" s="14"/>
      <c r="G10" s="14"/>
      <c r="H10" s="14"/>
      <c r="I10" s="14"/>
    </row>
    <row r="11" spans="1:12">
      <c r="A11" s="2">
        <v>10</v>
      </c>
      <c r="B11" s="2">
        <v>67</v>
      </c>
      <c r="C11" s="14"/>
      <c r="D11" s="14"/>
      <c r="E11" s="14"/>
      <c r="F11" s="14"/>
      <c r="G11" s="14"/>
      <c r="H11" s="14"/>
      <c r="I11" s="14"/>
    </row>
  </sheetData>
  <mergeCells count="1">
    <mergeCell ref="K1:L1"/>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EB25-C8E9-4318-BEF3-2F1D677C86F2}">
  <sheetPr codeName="Sheet460"/>
  <dimension ref="A1:C6"/>
  <sheetViews>
    <sheetView workbookViewId="0">
      <selection activeCell="F10" sqref="F10"/>
    </sheetView>
  </sheetViews>
  <sheetFormatPr defaultRowHeight="14.4"/>
  <cols>
    <col min="1" max="1" width="26.109375" bestFit="1" customWidth="1"/>
    <col min="2" max="3" width="10.109375" bestFit="1" customWidth="1"/>
  </cols>
  <sheetData>
    <row r="1" spans="1:3">
      <c r="A1" s="1" t="s">
        <v>2887</v>
      </c>
      <c r="B1" s="1" t="s">
        <v>3756</v>
      </c>
      <c r="C1" s="1" t="s">
        <v>3759</v>
      </c>
    </row>
    <row r="2" spans="1:3">
      <c r="A2" s="2" t="s">
        <v>320</v>
      </c>
      <c r="B2" s="2">
        <v>10</v>
      </c>
      <c r="C2" s="2">
        <v>3</v>
      </c>
    </row>
    <row r="3" spans="1:3">
      <c r="A3" s="2" t="s">
        <v>2186</v>
      </c>
      <c r="B3" s="2">
        <v>6</v>
      </c>
      <c r="C3" s="2">
        <v>4</v>
      </c>
    </row>
    <row r="5" spans="1:3">
      <c r="A5" s="1" t="s">
        <v>3858</v>
      </c>
      <c r="B5" s="7">
        <f>LOG(POWER(B2,B3))</f>
        <v>6</v>
      </c>
    </row>
    <row r="6" spans="1:3">
      <c r="A6" s="1" t="s">
        <v>3859</v>
      </c>
      <c r="B6" s="7">
        <f>LOG(POWER(C2,C3),C2)</f>
        <v>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D75-31F4-43F4-B5AC-5B83BA9E1109}">
  <sheetPr codeName="Sheet461"/>
  <dimension ref="A1:B6"/>
  <sheetViews>
    <sheetView workbookViewId="0">
      <selection activeCell="F10" sqref="F10"/>
    </sheetView>
  </sheetViews>
  <sheetFormatPr defaultRowHeight="14.4"/>
  <cols>
    <col min="1" max="1" width="9.6640625" bestFit="1" customWidth="1"/>
    <col min="2" max="2" width="11.88671875" bestFit="1" customWidth="1"/>
  </cols>
  <sheetData>
    <row r="1" spans="1:2">
      <c r="A1" s="1" t="s">
        <v>2887</v>
      </c>
      <c r="B1" s="1" t="s">
        <v>1727</v>
      </c>
    </row>
    <row r="2" spans="1:2">
      <c r="A2" s="2" t="s">
        <v>3860</v>
      </c>
      <c r="B2" s="2">
        <v>400</v>
      </c>
    </row>
    <row r="3" spans="1:2" ht="15.6">
      <c r="A3" s="2" t="s">
        <v>3861</v>
      </c>
      <c r="B3" s="139">
        <v>9.9999999999999998E-13</v>
      </c>
    </row>
    <row r="6" spans="1:2">
      <c r="A6" s="1" t="s">
        <v>3862</v>
      </c>
      <c r="B6" s="7">
        <f>10*LOG(B2/B3)</f>
        <v>146.02059991327963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7E73-4375-4E52-A001-7F7E4AD10BAF}">
  <sheetPr codeName="Sheet462"/>
  <dimension ref="A1:C5"/>
  <sheetViews>
    <sheetView workbookViewId="0"/>
  </sheetViews>
  <sheetFormatPr defaultRowHeight="14.4"/>
  <cols>
    <col min="3" max="3" width="9.44140625" bestFit="1" customWidth="1"/>
  </cols>
  <sheetData>
    <row r="1" spans="1:3">
      <c r="A1" s="1" t="s">
        <v>153</v>
      </c>
      <c r="B1" s="1" t="s">
        <v>320</v>
      </c>
      <c r="C1" s="1" t="s">
        <v>3850</v>
      </c>
    </row>
    <row r="2" spans="1:3">
      <c r="A2" s="2">
        <v>9</v>
      </c>
      <c r="B2" s="2">
        <v>3</v>
      </c>
      <c r="C2" s="7">
        <v>2</v>
      </c>
    </row>
    <row r="3" spans="1:3">
      <c r="A3" s="2">
        <v>1000</v>
      </c>
      <c r="B3" s="2">
        <v>10</v>
      </c>
      <c r="C3" s="7">
        <v>2.9999999999999996</v>
      </c>
    </row>
    <row r="4" spans="1:3">
      <c r="A4" s="2">
        <v>194481</v>
      </c>
      <c r="B4" s="2">
        <v>21</v>
      </c>
      <c r="C4" s="7">
        <v>4</v>
      </c>
    </row>
    <row r="5" spans="1:3">
      <c r="A5" s="2">
        <v>103</v>
      </c>
      <c r="B5" s="2">
        <v>2.44</v>
      </c>
      <c r="C5" s="7">
        <v>5.1958959369913069</v>
      </c>
    </row>
  </sheetData>
  <pageMargins left="0.7" right="0.7" top="0.75" bottom="0.75" header="0.3" footer="0.3"/>
  <pageSetup orientation="portrait" horizontalDpi="4294967293" verticalDpi="0"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E2BD-34F7-45AD-9B11-514C676E37B7}">
  <sheetPr codeName="Sheet463"/>
  <dimension ref="A1:D9"/>
  <sheetViews>
    <sheetView workbookViewId="0">
      <selection activeCell="C2" sqref="C2"/>
    </sheetView>
  </sheetViews>
  <sheetFormatPr defaultRowHeight="14.4"/>
  <cols>
    <col min="1" max="1" width="16" customWidth="1"/>
    <col min="2" max="2" width="38.6640625" bestFit="1" customWidth="1"/>
    <col min="3" max="3" width="22.6640625" bestFit="1" customWidth="1"/>
    <col min="4" max="4" width="26.88671875" bestFit="1" customWidth="1"/>
  </cols>
  <sheetData>
    <row r="1" spans="1:4">
      <c r="A1" s="1" t="s">
        <v>606</v>
      </c>
      <c r="B1" s="1" t="s">
        <v>1874</v>
      </c>
      <c r="C1" s="1" t="s">
        <v>3865</v>
      </c>
      <c r="D1" s="1" t="s">
        <v>1570</v>
      </c>
    </row>
    <row r="2" spans="1:4">
      <c r="A2" s="2" t="s">
        <v>2169</v>
      </c>
      <c r="B2" s="65" t="s">
        <v>3867</v>
      </c>
      <c r="C2" s="7" t="b">
        <f>ISTEXT(A2)</f>
        <v>1</v>
      </c>
      <c r="D2" s="65" t="s">
        <v>3876</v>
      </c>
    </row>
    <row r="3" spans="1:4">
      <c r="A3" s="2">
        <f>MONTH(DATE(2022,3,1))</f>
        <v>3</v>
      </c>
      <c r="B3" s="65" t="s">
        <v>3868</v>
      </c>
      <c r="C3" s="7" t="b">
        <f t="shared" ref="C3:C9" si="0">ISTEXT(A3)</f>
        <v>0</v>
      </c>
      <c r="D3" s="65" t="s">
        <v>3877</v>
      </c>
    </row>
    <row r="4" spans="1:4">
      <c r="A4" s="2">
        <v>289.45</v>
      </c>
      <c r="B4" s="65" t="s">
        <v>3869</v>
      </c>
      <c r="C4" s="7" t="b">
        <f t="shared" si="0"/>
        <v>0</v>
      </c>
      <c r="D4" s="65" t="s">
        <v>3878</v>
      </c>
    </row>
    <row r="5" spans="1:4">
      <c r="A5" s="238">
        <f ca="1">NOW()</f>
        <v>45589.629961689818</v>
      </c>
      <c r="B5" s="65" t="s">
        <v>3875</v>
      </c>
      <c r="C5" s="7" t="b">
        <f t="shared" ca="1" si="0"/>
        <v>0</v>
      </c>
      <c r="D5" s="65" t="s">
        <v>3879</v>
      </c>
    </row>
    <row r="6" spans="1:4">
      <c r="A6" s="2" t="b">
        <v>1</v>
      </c>
      <c r="B6" s="65" t="s">
        <v>3870</v>
      </c>
      <c r="C6" s="7" t="b">
        <f t="shared" si="0"/>
        <v>0</v>
      </c>
      <c r="D6" s="65" t="s">
        <v>3880</v>
      </c>
    </row>
    <row r="7" spans="1:4">
      <c r="A7" s="2" t="s">
        <v>48</v>
      </c>
      <c r="B7" s="65" t="s">
        <v>3871</v>
      </c>
      <c r="C7" s="7" t="b">
        <f t="shared" si="0"/>
        <v>1</v>
      </c>
      <c r="D7" s="65" t="s">
        <v>3881</v>
      </c>
    </row>
    <row r="8" spans="1:4">
      <c r="A8" s="2" t="s">
        <v>3866</v>
      </c>
      <c r="B8" s="65" t="s">
        <v>3872</v>
      </c>
      <c r="C8" s="7" t="b">
        <f t="shared" si="0"/>
        <v>1</v>
      </c>
      <c r="D8" s="65" t="s">
        <v>3882</v>
      </c>
    </row>
    <row r="9" spans="1:4">
      <c r="A9" s="21" t="s">
        <v>3873</v>
      </c>
      <c r="B9" s="65" t="s">
        <v>3874</v>
      </c>
      <c r="C9" s="7" t="b">
        <f t="shared" si="0"/>
        <v>1</v>
      </c>
      <c r="D9" s="65" t="s">
        <v>3883</v>
      </c>
    </row>
  </sheetData>
  <pageMargins left="0.7" right="0.7" top="0.75" bottom="0.75" header="0.3" footer="0.3"/>
  <pageSetup orientation="portrait" horizontalDpi="4294967293" verticalDpi="0" r:id="rId1"/>
  <ignoredErrors>
    <ignoredError sqref="A9"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CC-F667-49DB-9C49-F51DEFA7EEB6}">
  <sheetPr codeName="Sheet464"/>
  <dimension ref="A1:C11"/>
  <sheetViews>
    <sheetView workbookViewId="0">
      <selection activeCell="C2" sqref="C2"/>
    </sheetView>
  </sheetViews>
  <sheetFormatPr defaultRowHeight="14.4"/>
  <cols>
    <col min="1" max="1" width="10.88671875" bestFit="1" customWidth="1"/>
    <col min="2" max="2" width="13" customWidth="1"/>
    <col min="3" max="3" width="23.5546875" bestFit="1" customWidth="1"/>
  </cols>
  <sheetData>
    <row r="1" spans="1:3">
      <c r="A1" s="1" t="s">
        <v>606</v>
      </c>
      <c r="B1" s="1" t="s">
        <v>3891</v>
      </c>
      <c r="C1" s="1" t="s">
        <v>3884</v>
      </c>
    </row>
    <row r="2" spans="1:3">
      <c r="A2" s="2" t="s">
        <v>3143</v>
      </c>
      <c r="B2" s="2" t="s">
        <v>1633</v>
      </c>
      <c r="C2" s="7" t="b">
        <f>ISTEXT(A2)</f>
        <v>1</v>
      </c>
    </row>
    <row r="3" spans="1:3">
      <c r="A3" s="20">
        <v>44875</v>
      </c>
      <c r="B3" s="2" t="s">
        <v>670</v>
      </c>
      <c r="C3" s="7" t="b">
        <f t="shared" ref="C3:C11" si="0">ISTEXT(A3)</f>
        <v>0</v>
      </c>
    </row>
    <row r="4" spans="1:3">
      <c r="A4" s="83">
        <v>5000</v>
      </c>
      <c r="B4" s="2" t="s">
        <v>20</v>
      </c>
      <c r="C4" s="7" t="b">
        <f t="shared" si="0"/>
        <v>0</v>
      </c>
    </row>
    <row r="5" spans="1:3">
      <c r="A5" s="239">
        <v>3500</v>
      </c>
      <c r="B5" s="2" t="s">
        <v>153</v>
      </c>
      <c r="C5" s="7" t="b">
        <f t="shared" si="0"/>
        <v>0</v>
      </c>
    </row>
    <row r="6" spans="1:3">
      <c r="A6" s="2" t="s">
        <v>3885</v>
      </c>
      <c r="B6" s="2" t="s">
        <v>1633</v>
      </c>
      <c r="C6" s="7" t="b">
        <f t="shared" si="0"/>
        <v>1</v>
      </c>
    </row>
    <row r="7" spans="1:3">
      <c r="A7" s="2" t="e">
        <v>#DIV/0!</v>
      </c>
      <c r="B7" s="2" t="s">
        <v>3888</v>
      </c>
      <c r="C7" s="7" t="b">
        <f t="shared" si="0"/>
        <v>0</v>
      </c>
    </row>
    <row r="8" spans="1:3">
      <c r="A8" s="2"/>
      <c r="B8" s="2" t="s">
        <v>3889</v>
      </c>
      <c r="C8" s="7" t="b">
        <f t="shared" si="0"/>
        <v>0</v>
      </c>
    </row>
    <row r="9" spans="1:3">
      <c r="A9" s="2" t="s">
        <v>3886</v>
      </c>
      <c r="B9" s="2" t="s">
        <v>1633</v>
      </c>
      <c r="C9" s="7" t="b">
        <f t="shared" si="0"/>
        <v>1</v>
      </c>
    </row>
    <row r="10" spans="1:3">
      <c r="A10" s="50">
        <v>0.72916666666666663</v>
      </c>
      <c r="B10" s="2" t="s">
        <v>3890</v>
      </c>
      <c r="C10" s="7" t="b">
        <f t="shared" si="0"/>
        <v>0</v>
      </c>
    </row>
    <row r="11" spans="1:3">
      <c r="A11" s="2" t="s">
        <v>3887</v>
      </c>
      <c r="B11" s="2" t="s">
        <v>1633</v>
      </c>
      <c r="C11" s="7" t="b">
        <f t="shared" si="0"/>
        <v>1</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7398-0CAB-46CC-87DF-EEE297C93174}">
  <sheetPr codeName="Sheet465"/>
  <dimension ref="A1:B11"/>
  <sheetViews>
    <sheetView workbookViewId="0">
      <selection activeCell="C2" sqref="C2"/>
    </sheetView>
  </sheetViews>
  <sheetFormatPr defaultRowHeight="14.4"/>
  <cols>
    <col min="1" max="1" width="23.44140625" bestFit="1" customWidth="1"/>
  </cols>
  <sheetData>
    <row r="1" spans="1:2">
      <c r="A1" s="1" t="s">
        <v>3897</v>
      </c>
    </row>
    <row r="2" spans="1:2">
      <c r="A2" s="2">
        <v>2498</v>
      </c>
    </row>
    <row r="3" spans="1:2">
      <c r="A3" s="2" t="s">
        <v>3893</v>
      </c>
    </row>
    <row r="4" spans="1:2">
      <c r="A4" s="2"/>
    </row>
    <row r="5" spans="1:2">
      <c r="A5" s="2" t="s">
        <v>3892</v>
      </c>
    </row>
    <row r="6" spans="1:2">
      <c r="A6" s="2" t="e">
        <v>#N/A</v>
      </c>
    </row>
    <row r="7" spans="1:2">
      <c r="A7" s="2" t="s">
        <v>3896</v>
      </c>
    </row>
    <row r="8" spans="1:2">
      <c r="A8" s="2">
        <v>2967</v>
      </c>
    </row>
    <row r="9" spans="1:2">
      <c r="A9" s="2" t="s">
        <v>3894</v>
      </c>
    </row>
    <row r="11" spans="1:2">
      <c r="A11" s="1" t="s">
        <v>3895</v>
      </c>
      <c r="B11" s="7">
        <f>SUMPRODUCT(ISTEXT(A2:A9)*1)</f>
        <v>4</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DA7C-6BBC-4C82-86D9-036A3CD5B505}">
  <sheetPr codeName="Sheet466"/>
  <dimension ref="A1:B6"/>
  <sheetViews>
    <sheetView workbookViewId="0">
      <selection activeCell="C2" sqref="C2"/>
    </sheetView>
  </sheetViews>
  <sheetFormatPr defaultRowHeight="14.4"/>
  <cols>
    <col min="1" max="1" width="25.5546875" customWidth="1"/>
    <col min="2" max="2" width="9.33203125" bestFit="1" customWidth="1"/>
  </cols>
  <sheetData>
    <row r="1" spans="1:2">
      <c r="A1" s="1" t="s">
        <v>3898</v>
      </c>
      <c r="B1" s="1" t="s">
        <v>3899</v>
      </c>
    </row>
    <row r="2" spans="1:2">
      <c r="A2" s="2" t="s">
        <v>3901</v>
      </c>
      <c r="B2" s="7" t="s">
        <v>3905</v>
      </c>
    </row>
    <row r="3" spans="1:2">
      <c r="A3" s="2" t="s">
        <v>3900</v>
      </c>
      <c r="B3" s="7" t="s">
        <v>3906</v>
      </c>
    </row>
    <row r="4" spans="1:2">
      <c r="A4" s="2" t="s">
        <v>3903</v>
      </c>
      <c r="B4" s="7" t="s">
        <v>3907</v>
      </c>
    </row>
    <row r="5" spans="1:2">
      <c r="A5" s="2" t="s">
        <v>3904</v>
      </c>
      <c r="B5" s="7" t="s">
        <v>3907</v>
      </c>
    </row>
    <row r="6" spans="1:2">
      <c r="A6" s="2" t="s">
        <v>3902</v>
      </c>
      <c r="B6" s="7" t="s">
        <v>286</v>
      </c>
    </row>
  </sheetData>
  <dataValidations count="1">
    <dataValidation type="custom" allowBlank="1" showInputMessage="1" showErrorMessage="1" errorTitle="Invalid Entry" error="Please Enter Valid Text." sqref="B2:B6" xr:uid="{FE32EFBE-6E18-4D29-8CD7-77E5499CBD2E}">
      <formula1>ISTEXT(B2:B6)</formula1>
    </dataValidation>
  </dataValidation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BB8B7-B27F-4D59-8F0C-ED8E7F79180D}">
  <sheetPr codeName="Sheet467"/>
  <dimension ref="A1:B11"/>
  <sheetViews>
    <sheetView workbookViewId="0">
      <selection activeCell="C2" sqref="C2"/>
    </sheetView>
  </sheetViews>
  <sheetFormatPr defaultRowHeight="14.4"/>
  <cols>
    <col min="1" max="1" width="19.33203125" bestFit="1" customWidth="1"/>
  </cols>
  <sheetData>
    <row r="1" spans="1:2">
      <c r="A1" s="1" t="s">
        <v>0</v>
      </c>
      <c r="B1" s="1" t="s">
        <v>1</v>
      </c>
    </row>
    <row r="2" spans="1:2">
      <c r="A2" s="3" t="s">
        <v>3908</v>
      </c>
      <c r="B2" s="2" t="s">
        <v>758</v>
      </c>
    </row>
    <row r="3" spans="1:2">
      <c r="A3" s="3" t="s">
        <v>3909</v>
      </c>
      <c r="B3" s="2"/>
    </row>
    <row r="4" spans="1:2">
      <c r="A4" s="3" t="s">
        <v>3910</v>
      </c>
      <c r="B4" s="2" t="s">
        <v>762</v>
      </c>
    </row>
    <row r="5" spans="1:2">
      <c r="A5" s="3" t="s">
        <v>3911</v>
      </c>
      <c r="B5" s="2" t="e">
        <v>#DIV/0!</v>
      </c>
    </row>
    <row r="6" spans="1:2">
      <c r="A6" s="3" t="s">
        <v>3912</v>
      </c>
      <c r="B6" s="2" t="s">
        <v>760</v>
      </c>
    </row>
    <row r="7" spans="1:2">
      <c r="A7" s="3" t="s">
        <v>3913</v>
      </c>
      <c r="B7" s="2" t="s">
        <v>762</v>
      </c>
    </row>
    <row r="8" spans="1:2">
      <c r="A8" s="3" t="s">
        <v>3914</v>
      </c>
      <c r="B8" s="2" t="s">
        <v>758</v>
      </c>
    </row>
    <row r="9" spans="1:2">
      <c r="A9" s="3" t="s">
        <v>3915</v>
      </c>
      <c r="B9" s="2" t="s">
        <v>760</v>
      </c>
    </row>
    <row r="10" spans="1:2">
      <c r="A10" s="3" t="s">
        <v>3916</v>
      </c>
      <c r="B10" s="82">
        <v>0.95</v>
      </c>
    </row>
    <row r="11" spans="1:2">
      <c r="A11" s="3" t="s">
        <v>3917</v>
      </c>
      <c r="B11" s="2" t="s">
        <v>758</v>
      </c>
    </row>
  </sheetData>
  <conditionalFormatting sqref="B2:B11">
    <cfRule type="expression" dxfId="3" priority="1">
      <formula>ISTEXT(B2)</formula>
    </cfRule>
  </conditionalFormatting>
  <pageMargins left="0.7" right="0.7" top="0.75" bottom="0.75" header="0.3" footer="0.3"/>
  <pageSetup orientation="portrait" horizontalDpi="4294967293" verticalDpi="0"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35-638A-4513-9B58-647AE796DA33}">
  <sheetPr codeName="Sheet468"/>
  <dimension ref="A1:B11"/>
  <sheetViews>
    <sheetView workbookViewId="0"/>
  </sheetViews>
  <sheetFormatPr defaultRowHeight="14.4"/>
  <cols>
    <col min="1" max="1" width="22.44140625" bestFit="1" customWidth="1"/>
    <col min="2" max="2" width="20.44140625" bestFit="1" customWidth="1"/>
  </cols>
  <sheetData>
    <row r="1" spans="1:2">
      <c r="A1" s="1" t="s">
        <v>75</v>
      </c>
      <c r="B1" s="1" t="s">
        <v>3925</v>
      </c>
    </row>
    <row r="2" spans="1:2">
      <c r="A2" s="2" t="s">
        <v>3918</v>
      </c>
      <c r="B2" s="7" t="str">
        <f>IF(ISTEXT(A2),IF(COUNTIF(A2,"*iPhone*"),"Yes","No"),"")</f>
        <v>Yes</v>
      </c>
    </row>
    <row r="3" spans="1:2">
      <c r="A3" s="2" t="s">
        <v>1464</v>
      </c>
      <c r="B3" s="7" t="str">
        <f t="shared" ref="B3:B11" si="0">IF(ISTEXT(A3),IF(COUNTIF(A3,"*iPhone*"),"Yes","No"),"")</f>
        <v>No</v>
      </c>
    </row>
    <row r="4" spans="1:2">
      <c r="A4" s="2" t="s">
        <v>3919</v>
      </c>
      <c r="B4" s="7" t="str">
        <f t="shared" si="0"/>
        <v>Yes</v>
      </c>
    </row>
    <row r="5" spans="1:2">
      <c r="A5" s="2" t="e">
        <v>#VALUE!</v>
      </c>
      <c r="B5" s="7" t="str">
        <f t="shared" si="0"/>
        <v/>
      </c>
    </row>
    <row r="6" spans="1:2">
      <c r="A6" s="2" t="s">
        <v>3920</v>
      </c>
      <c r="B6" s="7" t="str">
        <f t="shared" si="0"/>
        <v>Yes</v>
      </c>
    </row>
    <row r="7" spans="1:2">
      <c r="A7" s="2" t="s">
        <v>3921</v>
      </c>
      <c r="B7" s="7" t="str">
        <f t="shared" si="0"/>
        <v>Yes</v>
      </c>
    </row>
    <row r="8" spans="1:2">
      <c r="A8" s="2" t="s">
        <v>3922</v>
      </c>
      <c r="B8" s="7" t="str">
        <f t="shared" si="0"/>
        <v>Yes</v>
      </c>
    </row>
    <row r="9" spans="1:2">
      <c r="A9" s="2"/>
      <c r="B9" s="7" t="str">
        <f t="shared" si="0"/>
        <v/>
      </c>
    </row>
    <row r="10" spans="1:2">
      <c r="A10" s="2" t="s">
        <v>3923</v>
      </c>
      <c r="B10" s="7" t="str">
        <f t="shared" si="0"/>
        <v>No</v>
      </c>
    </row>
    <row r="11" spans="1:2">
      <c r="A11" s="2" t="s">
        <v>3924</v>
      </c>
      <c r="B11" s="7" t="str">
        <f t="shared" si="0"/>
        <v>No</v>
      </c>
    </row>
  </sheetData>
  <pageMargins left="0.7" right="0.7" top="0.75" bottom="0.75" header="0.3" footer="0.3"/>
  <pageSetup orientation="portrait" horizontalDpi="4294967293" verticalDpi="0"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9DD4-E448-4850-B78A-6F608096A7C3}">
  <sheetPr codeName="Sheet469"/>
  <dimension ref="A1:C7"/>
  <sheetViews>
    <sheetView workbookViewId="0"/>
  </sheetViews>
  <sheetFormatPr defaultRowHeight="14.4"/>
  <cols>
    <col min="1" max="1" width="11.109375" bestFit="1" customWidth="1"/>
    <col min="2" max="2" width="44.88671875" bestFit="1" customWidth="1"/>
    <col min="3" max="3" width="24" bestFit="1" customWidth="1"/>
  </cols>
  <sheetData>
    <row r="1" spans="1:3">
      <c r="A1" s="1" t="s">
        <v>153</v>
      </c>
      <c r="B1" s="1" t="s">
        <v>3926</v>
      </c>
      <c r="C1" s="1" t="s">
        <v>1145</v>
      </c>
    </row>
    <row r="2" spans="1:3">
      <c r="A2" s="2">
        <v>98.74</v>
      </c>
      <c r="B2" s="7">
        <f t="shared" ref="B2:B7" si="0">INT(A2)</f>
        <v>98</v>
      </c>
      <c r="C2" s="55" t="s">
        <v>3927</v>
      </c>
    </row>
    <row r="3" spans="1:3">
      <c r="A3" s="2">
        <v>100</v>
      </c>
      <c r="B3" s="7">
        <f t="shared" si="0"/>
        <v>100</v>
      </c>
      <c r="C3" s="55" t="s">
        <v>3928</v>
      </c>
    </row>
    <row r="4" spans="1:3">
      <c r="A4" s="2">
        <v>0</v>
      </c>
      <c r="B4" s="7">
        <f t="shared" si="0"/>
        <v>0</v>
      </c>
      <c r="C4" s="55" t="s">
        <v>3929</v>
      </c>
    </row>
    <row r="5" spans="1:3">
      <c r="A5" s="2">
        <v>-533.88</v>
      </c>
      <c r="B5" s="7">
        <f t="shared" si="0"/>
        <v>-534</v>
      </c>
      <c r="C5" s="55" t="s">
        <v>3930</v>
      </c>
    </row>
    <row r="6" spans="1:3">
      <c r="A6" s="2">
        <v>6.5</v>
      </c>
      <c r="B6" s="7">
        <f t="shared" si="0"/>
        <v>6</v>
      </c>
      <c r="C6" s="55" t="s">
        <v>3931</v>
      </c>
    </row>
    <row r="7" spans="1:3">
      <c r="A7" s="2">
        <v>-207.45599999999999</v>
      </c>
      <c r="B7" s="7">
        <f t="shared" si="0"/>
        <v>-208</v>
      </c>
      <c r="C7" s="55" t="s">
        <v>3932</v>
      </c>
    </row>
  </sheetData>
  <pageMargins left="0.7" right="0.7" top="0.75" bottom="0.75" header="0.3" footer="0.3"/>
  <pageSetup orientation="portrait" horizontalDpi="4294967293" verticalDpi="0"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332A-9F98-424B-A225-E74A59610B8E}">
  <sheetPr codeName="Sheet470"/>
  <dimension ref="A1:E8"/>
  <sheetViews>
    <sheetView workbookViewId="0"/>
  </sheetViews>
  <sheetFormatPr defaultRowHeight="14.4"/>
  <cols>
    <col min="1" max="1" width="15.5546875" bestFit="1" customWidth="1"/>
    <col min="2" max="2" width="46.33203125" bestFit="1" customWidth="1"/>
    <col min="3" max="3" width="10.44140625" bestFit="1" customWidth="1"/>
  </cols>
  <sheetData>
    <row r="1" spans="1:5">
      <c r="A1" s="1" t="s">
        <v>3933</v>
      </c>
      <c r="B1" s="1" t="s">
        <v>622</v>
      </c>
      <c r="C1" s="1" t="s">
        <v>1384</v>
      </c>
    </row>
    <row r="2" spans="1:5">
      <c r="A2" s="2">
        <v>85.23</v>
      </c>
      <c r="B2" s="2" t="s">
        <v>3935</v>
      </c>
      <c r="C2" s="7">
        <f>INT(A2)</f>
        <v>85</v>
      </c>
    </row>
    <row r="3" spans="1:5">
      <c r="A3" s="2">
        <v>-49.71</v>
      </c>
      <c r="B3" s="2" t="s">
        <v>3935</v>
      </c>
      <c r="C3" s="7">
        <f>INT(A3)</f>
        <v>-50</v>
      </c>
    </row>
    <row r="4" spans="1:5">
      <c r="A4" s="2">
        <v>0.94</v>
      </c>
      <c r="B4" s="2" t="s">
        <v>3935</v>
      </c>
      <c r="C4" s="7">
        <f>INT(A4)</f>
        <v>0</v>
      </c>
    </row>
    <row r="5" spans="1:5">
      <c r="A5" s="2">
        <v>-0.15</v>
      </c>
      <c r="B5" s="2" t="s">
        <v>3935</v>
      </c>
      <c r="C5" s="7">
        <f>INT(A5)</f>
        <v>-1</v>
      </c>
    </row>
    <row r="6" spans="1:5">
      <c r="A6" s="77">
        <v>44879.447916666664</v>
      </c>
      <c r="B6" s="2" t="s">
        <v>3934</v>
      </c>
      <c r="C6" s="66">
        <f>INT("11/14/2022  10:45:00 AM")</f>
        <v>44879</v>
      </c>
    </row>
    <row r="8" spans="1:5">
      <c r="E8" s="225"/>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E4D9-9EC6-4902-95EE-67BEE2092F37}">
  <sheetPr codeName="Sheet471"/>
  <dimension ref="A1:M6"/>
  <sheetViews>
    <sheetView workbookViewId="0"/>
  </sheetViews>
  <sheetFormatPr defaultRowHeight="14.4"/>
  <cols>
    <col min="1" max="1" width="10.5546875" bestFit="1" customWidth="1"/>
    <col min="2" max="2" width="16.109375" bestFit="1" customWidth="1"/>
    <col min="3" max="3" width="22.88671875" bestFit="1" customWidth="1"/>
  </cols>
  <sheetData>
    <row r="1" spans="1:13">
      <c r="A1" s="1" t="s">
        <v>3954</v>
      </c>
      <c r="B1" s="1" t="s">
        <v>3961</v>
      </c>
      <c r="C1" s="1" t="s">
        <v>3960</v>
      </c>
    </row>
    <row r="2" spans="1:13">
      <c r="A2" s="2" t="s">
        <v>3955</v>
      </c>
      <c r="B2" s="2">
        <v>100.55</v>
      </c>
      <c r="C2" s="7">
        <f>(B2-INT(B2))*1000</f>
        <v>549.99999999999716</v>
      </c>
    </row>
    <row r="3" spans="1:13">
      <c r="A3" s="2" t="s">
        <v>3956</v>
      </c>
      <c r="B3" s="2">
        <v>450.28</v>
      </c>
      <c r="C3" s="7">
        <f>(B3-INT(B3))*1000</f>
        <v>279.99999999997272</v>
      </c>
    </row>
    <row r="4" spans="1:13">
      <c r="A4" s="2" t="s">
        <v>3957</v>
      </c>
      <c r="B4" s="2">
        <v>120.3</v>
      </c>
      <c r="C4" s="7">
        <f>(B4-INT(B4))*1000</f>
        <v>299.99999999999716</v>
      </c>
      <c r="M4">
        <f>(B2-INT(B2))*1000</f>
        <v>549.99999999999716</v>
      </c>
    </row>
    <row r="5" spans="1:13">
      <c r="A5" s="2" t="s">
        <v>3958</v>
      </c>
      <c r="B5" s="2">
        <v>296.43</v>
      </c>
      <c r="C5" s="7">
        <f>(B5-INT(B5))*1000</f>
        <v>430.00000000000682</v>
      </c>
    </row>
    <row r="6" spans="1:13">
      <c r="A6" s="2" t="s">
        <v>3959</v>
      </c>
      <c r="B6" s="2">
        <v>788.60500000000002</v>
      </c>
      <c r="C6" s="7">
        <f>(B6-INT(B6))*1000</f>
        <v>605.00000000001819</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DA2C-C2D5-4538-BC14-90DC371D3412}">
  <sheetPr codeName="Sheet472"/>
  <dimension ref="A1:B6"/>
  <sheetViews>
    <sheetView workbookViewId="0"/>
  </sheetViews>
  <sheetFormatPr defaultRowHeight="14.4"/>
  <cols>
    <col min="1" max="1" width="15.109375" bestFit="1" customWidth="1"/>
    <col min="2" max="2" width="37.5546875" bestFit="1" customWidth="1"/>
  </cols>
  <sheetData>
    <row r="1" spans="1:2">
      <c r="A1" s="1" t="s">
        <v>3936</v>
      </c>
      <c r="B1" s="1" t="s">
        <v>3942</v>
      </c>
    </row>
    <row r="2" spans="1:2">
      <c r="A2" s="27" t="s">
        <v>3937</v>
      </c>
      <c r="B2" s="7">
        <f>INT(VALUE(A2))</f>
        <v>55</v>
      </c>
    </row>
    <row r="3" spans="1:2">
      <c r="A3" s="27" t="s">
        <v>3938</v>
      </c>
      <c r="B3" s="7">
        <f>INT(VALUE(A3))</f>
        <v>-35</v>
      </c>
    </row>
    <row r="4" spans="1:2">
      <c r="A4" s="27" t="s">
        <v>3939</v>
      </c>
      <c r="B4" s="67">
        <f>INT(VALUE(A4))</f>
        <v>61</v>
      </c>
    </row>
    <row r="5" spans="1:2">
      <c r="A5" s="27" t="s">
        <v>3940</v>
      </c>
      <c r="B5" s="7">
        <f>INT(VALUE(A5))</f>
        <v>-1</v>
      </c>
    </row>
    <row r="6" spans="1:2">
      <c r="A6" s="27" t="s">
        <v>3941</v>
      </c>
      <c r="B6" s="66">
        <f>INT(VALUE(A6))</f>
        <v>44874</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45F2-E7B3-4A01-BD66-C30EA98B21BC}">
  <sheetPr codeName="Sheet473"/>
  <dimension ref="A1:C11"/>
  <sheetViews>
    <sheetView workbookViewId="0"/>
  </sheetViews>
  <sheetFormatPr defaultRowHeight="14.4"/>
  <cols>
    <col min="1" max="1" width="14.88671875" bestFit="1" customWidth="1"/>
    <col min="2" max="2" width="11.88671875" bestFit="1" customWidth="1"/>
    <col min="3" max="3" width="37.88671875" bestFit="1" customWidth="1"/>
  </cols>
  <sheetData>
    <row r="1" spans="1:3">
      <c r="A1" s="1" t="s">
        <v>2296</v>
      </c>
      <c r="B1" s="1" t="s">
        <v>1949</v>
      </c>
      <c r="C1" s="1" t="s">
        <v>3953</v>
      </c>
    </row>
    <row r="2" spans="1:3">
      <c r="A2" s="3" t="s">
        <v>3943</v>
      </c>
      <c r="B2" s="20">
        <v>38626</v>
      </c>
      <c r="C2" s="57" t="str">
        <f ca="1">IF(AND(INT(YEARFRAC(B2,TODAY()))&gt;=17,INT(YEARFRAC(B2,TODAY()))&lt;=31),"Eligible","Not Eligible")</f>
        <v>Eligible</v>
      </c>
    </row>
    <row r="3" spans="1:3">
      <c r="A3" s="3" t="s">
        <v>3944</v>
      </c>
      <c r="B3" s="20">
        <v>36595</v>
      </c>
      <c r="C3" s="57" t="str">
        <f t="shared" ref="C3:C11" ca="1" si="0">IF(AND(INT(YEARFRAC(B3,TODAY()))&gt;=17,INT(YEARFRAC(B3,TODAY()))&lt;=31),"Eligible","Not Eligible")</f>
        <v>Eligible</v>
      </c>
    </row>
    <row r="4" spans="1:3">
      <c r="A4" s="3" t="s">
        <v>3945</v>
      </c>
      <c r="B4" s="20">
        <v>36172</v>
      </c>
      <c r="C4" s="57" t="str">
        <f t="shared" ca="1" si="0"/>
        <v>Eligible</v>
      </c>
    </row>
    <row r="5" spans="1:3">
      <c r="A5" s="3" t="s">
        <v>3946</v>
      </c>
      <c r="B5" s="20">
        <v>38122</v>
      </c>
      <c r="C5" s="57" t="str">
        <f t="shared" ca="1" si="0"/>
        <v>Eligible</v>
      </c>
    </row>
    <row r="6" spans="1:3">
      <c r="A6" s="3" t="s">
        <v>3947</v>
      </c>
      <c r="B6" s="20">
        <v>37122</v>
      </c>
      <c r="C6" s="57" t="str">
        <f t="shared" ca="1" si="0"/>
        <v>Eligible</v>
      </c>
    </row>
    <row r="7" spans="1:3">
      <c r="A7" s="3" t="s">
        <v>3948</v>
      </c>
      <c r="B7" s="20">
        <v>34805</v>
      </c>
      <c r="C7" s="57" t="str">
        <f t="shared" ca="1" si="0"/>
        <v>Eligible</v>
      </c>
    </row>
    <row r="8" spans="1:3">
      <c r="A8" s="3" t="s">
        <v>3949</v>
      </c>
      <c r="B8" s="20">
        <v>35905</v>
      </c>
      <c r="C8" s="57" t="str">
        <f t="shared" ca="1" si="0"/>
        <v>Eligible</v>
      </c>
    </row>
    <row r="9" spans="1:3">
      <c r="A9" s="3" t="s">
        <v>3950</v>
      </c>
      <c r="B9" s="20">
        <v>32928</v>
      </c>
      <c r="C9" s="57" t="str">
        <f t="shared" ca="1" si="0"/>
        <v>Not Eligible</v>
      </c>
    </row>
    <row r="10" spans="1:3">
      <c r="A10" s="3" t="s">
        <v>3951</v>
      </c>
      <c r="B10" s="20">
        <v>38914</v>
      </c>
      <c r="C10" s="57" t="str">
        <f t="shared" ca="1" si="0"/>
        <v>Eligible</v>
      </c>
    </row>
    <row r="11" spans="1:3">
      <c r="A11" s="3" t="s">
        <v>3952</v>
      </c>
      <c r="B11" s="20">
        <v>37437</v>
      </c>
      <c r="C11" s="57" t="str">
        <f t="shared" ca="1" si="0"/>
        <v>Eligible</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5B12-B4F9-4A6F-BB3F-A42B56B49532}">
  <sheetPr codeName="Sheet474"/>
  <dimension ref="A1:B5"/>
  <sheetViews>
    <sheetView workbookViewId="0"/>
  </sheetViews>
  <sheetFormatPr defaultRowHeight="14.4"/>
  <cols>
    <col min="1" max="1" width="13.44140625" bestFit="1" customWidth="1"/>
    <col min="2" max="2" width="18.5546875" bestFit="1" customWidth="1"/>
  </cols>
  <sheetData>
    <row r="1" spans="1:2">
      <c r="A1" s="1" t="s">
        <v>3962</v>
      </c>
      <c r="B1" s="1" t="s">
        <v>3963</v>
      </c>
    </row>
    <row r="2" spans="1:2">
      <c r="A2" s="2">
        <v>22.45</v>
      </c>
      <c r="B2" s="7">
        <f>-INT(-A2)</f>
        <v>23</v>
      </c>
    </row>
    <row r="3" spans="1:2">
      <c r="A3" s="2">
        <v>89.12</v>
      </c>
      <c r="B3" s="7">
        <f>-INT(-A3)</f>
        <v>90</v>
      </c>
    </row>
    <row r="4" spans="1:2">
      <c r="A4" s="2">
        <v>-94.63</v>
      </c>
      <c r="B4" s="7">
        <f>-INT(-A4)</f>
        <v>-94</v>
      </c>
    </row>
    <row r="5" spans="1:2">
      <c r="A5" s="2">
        <v>-0.77</v>
      </c>
      <c r="B5" s="7">
        <f>-INT(-A5)</f>
        <v>0</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F93-B3C0-4FF6-B9AD-3946296FF1B9}">
  <sheetPr codeName="Sheet475"/>
  <dimension ref="A1:B8"/>
  <sheetViews>
    <sheetView workbookViewId="0">
      <selection activeCell="B1" sqref="B1"/>
    </sheetView>
  </sheetViews>
  <sheetFormatPr defaultRowHeight="14.4"/>
  <cols>
    <col min="1" max="1" width="10.33203125" bestFit="1" customWidth="1"/>
    <col min="2" max="2" width="18.5546875" bestFit="1" customWidth="1"/>
  </cols>
  <sheetData>
    <row r="1" spans="1:2">
      <c r="A1" s="1" t="s">
        <v>3964</v>
      </c>
      <c r="B1" s="1" t="s">
        <v>3965</v>
      </c>
    </row>
    <row r="2" spans="1:2">
      <c r="A2" s="2" t="e">
        <v>#DIV/0!</v>
      </c>
      <c r="B2" s="7" t="e">
        <f>_xlfn.IFNA(A2,"Yes")</f>
        <v>#DIV/0!</v>
      </c>
    </row>
    <row r="3" spans="1:2">
      <c r="A3" s="2" t="e">
        <v>#N/A</v>
      </c>
      <c r="B3" s="7" t="str">
        <f t="shared" ref="B3:B8" si="0">_xlfn.IFNA(A3,"Yes")</f>
        <v>Yes</v>
      </c>
    </row>
    <row r="4" spans="1:2">
      <c r="A4" s="2" t="e">
        <v>#NUM!</v>
      </c>
      <c r="B4" s="7" t="e">
        <f t="shared" si="0"/>
        <v>#NUM!</v>
      </c>
    </row>
    <row r="5" spans="1:2">
      <c r="A5" s="2" t="e">
        <v>#NAME?</v>
      </c>
      <c r="B5" s="7" t="e">
        <f t="shared" si="0"/>
        <v>#NAME?</v>
      </c>
    </row>
    <row r="6" spans="1:2">
      <c r="A6" s="2" t="e">
        <v>#NULL!</v>
      </c>
      <c r="B6" s="7" t="e">
        <f t="shared" si="0"/>
        <v>#NULL!</v>
      </c>
    </row>
    <row r="7" spans="1:2">
      <c r="A7" s="2" t="e">
        <v>#REF!</v>
      </c>
      <c r="B7" s="7" t="e">
        <f t="shared" si="0"/>
        <v>#REF!</v>
      </c>
    </row>
    <row r="8" spans="1:2">
      <c r="A8" s="2" t="e">
        <v>#VALUE!</v>
      </c>
      <c r="B8" s="7" t="e">
        <f t="shared" si="0"/>
        <v>#VALUE!</v>
      </c>
    </row>
  </sheetData>
  <pageMargins left="0.7" right="0.7" top="0.75" bottom="0.75" header="0.3" footer="0.3"/>
  <pageSetup orientation="portrait" horizontalDpi="4294967293" verticalDpi="0" r:id="rId1"/>
  <ignoredErrors>
    <ignoredError sqref="B2 B4:B8" evalError="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158B-40BB-4519-8884-C65A9DD7F84B}">
  <sheetPr codeName="Sheet476"/>
  <dimension ref="A1:P6"/>
  <sheetViews>
    <sheetView workbookViewId="0">
      <selection activeCell="B1" sqref="B1"/>
    </sheetView>
  </sheetViews>
  <sheetFormatPr defaultRowHeight="14.4"/>
  <cols>
    <col min="2" max="2" width="26.109375" bestFit="1" customWidth="1"/>
  </cols>
  <sheetData>
    <row r="1" spans="1:16">
      <c r="A1" s="1" t="s">
        <v>153</v>
      </c>
      <c r="B1" s="1" t="s">
        <v>3966</v>
      </c>
    </row>
    <row r="2" spans="1:16">
      <c r="A2" s="2">
        <v>552</v>
      </c>
      <c r="B2" s="7" t="str">
        <f>_xlfn.IFNA(IF(MOD(A2,2)=0,"Number is a multiple of 2.",#N/A),"Number is not a multiple of 2.")</f>
        <v>Number is a multiple of 2.</v>
      </c>
    </row>
    <row r="3" spans="1:16">
      <c r="A3" s="2">
        <v>2</v>
      </c>
      <c r="B3" s="7" t="str">
        <f>_xlfn.IFNA(IF(MOD(A3,2)=0,"Number is a multiple of 2.",#N/A),"Number is not a multiple of 2.")</f>
        <v>Number is a multiple of 2.</v>
      </c>
    </row>
    <row r="4" spans="1:16">
      <c r="A4" s="2">
        <v>101</v>
      </c>
      <c r="B4" s="7" t="str">
        <f>_xlfn.IFNA(IF(MOD(A4,2)=0,"Number is a multiple of 2.",#N/A),"Number is not a multiple of 2.")</f>
        <v>Number is not a multiple of 2.</v>
      </c>
    </row>
    <row r="5" spans="1:16">
      <c r="A5" s="2">
        <v>48</v>
      </c>
      <c r="B5" s="7" t="str">
        <f>_xlfn.IFNA(IF(MOD(A5,2)=0,"Number is a multiple of 2.",#N/A),"Number is not a multiple of 2.")</f>
        <v>Number is a multiple of 2.</v>
      </c>
    </row>
    <row r="6" spans="1:16">
      <c r="A6" s="2">
        <v>7</v>
      </c>
      <c r="B6" s="7" t="str">
        <f>_xlfn.IFNA(IF(MOD(A6,2)=0,"Number is a multiple of 2.",#N/A),"Number is not a multiple of 2.")</f>
        <v>Number is not a multiple of 2.</v>
      </c>
      <c r="P6" t="str">
        <f>_xlfn.IFNA(IF(MOD(A2,2)=0,"Number is a multiple of 2.",#N/A),"Number is not a multiple of 2.")</f>
        <v>Number is a multiple of 2.</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5AB5-D5CC-445B-8339-A54E8607F052}">
  <sheetPr codeName="Sheet477"/>
  <dimension ref="A1:C16"/>
  <sheetViews>
    <sheetView workbookViewId="0">
      <selection activeCell="B1" sqref="B1"/>
    </sheetView>
  </sheetViews>
  <sheetFormatPr defaultRowHeight="14.4"/>
  <cols>
    <col min="1" max="1" width="17.5546875" bestFit="1" customWidth="1"/>
    <col min="2" max="3" width="21.88671875" bestFit="1" customWidth="1"/>
  </cols>
  <sheetData>
    <row r="1" spans="1:3">
      <c r="A1" s="1" t="s">
        <v>3979</v>
      </c>
      <c r="B1" s="1" t="s">
        <v>3981</v>
      </c>
      <c r="C1" s="1" t="s">
        <v>370</v>
      </c>
    </row>
    <row r="2" spans="1:3">
      <c r="A2" s="3" t="s">
        <v>3967</v>
      </c>
      <c r="B2" s="2" t="s">
        <v>3982</v>
      </c>
      <c r="C2" s="2" t="s">
        <v>3977</v>
      </c>
    </row>
    <row r="3" spans="1:3">
      <c r="A3" s="3" t="s">
        <v>3968</v>
      </c>
      <c r="B3" s="2" t="s">
        <v>3982</v>
      </c>
      <c r="C3" s="2" t="s">
        <v>3978</v>
      </c>
    </row>
    <row r="4" spans="1:3">
      <c r="A4" s="3" t="s">
        <v>3969</v>
      </c>
      <c r="B4" s="2" t="s">
        <v>3982</v>
      </c>
      <c r="C4" s="2" t="s">
        <v>3978</v>
      </c>
    </row>
    <row r="5" spans="1:3">
      <c r="A5" s="3" t="s">
        <v>3970</v>
      </c>
      <c r="B5" s="2" t="s">
        <v>3982</v>
      </c>
      <c r="C5" s="2" t="s">
        <v>1364</v>
      </c>
    </row>
    <row r="6" spans="1:3">
      <c r="A6" s="3" t="s">
        <v>3971</v>
      </c>
      <c r="B6" s="2" t="s">
        <v>3982</v>
      </c>
      <c r="C6" s="2" t="s">
        <v>3978</v>
      </c>
    </row>
    <row r="7" spans="1:3">
      <c r="A7" s="3" t="s">
        <v>3972</v>
      </c>
      <c r="B7" s="2" t="s">
        <v>3982</v>
      </c>
      <c r="C7" s="2" t="s">
        <v>1366</v>
      </c>
    </row>
    <row r="8" spans="1:3">
      <c r="A8" s="3" t="s">
        <v>3973</v>
      </c>
      <c r="B8" s="2" t="s">
        <v>3982</v>
      </c>
      <c r="C8" s="2" t="s">
        <v>3978</v>
      </c>
    </row>
    <row r="9" spans="1:3">
      <c r="A9" s="3" t="s">
        <v>3974</v>
      </c>
      <c r="B9" s="2" t="s">
        <v>3982</v>
      </c>
      <c r="C9" s="2" t="s">
        <v>3978</v>
      </c>
    </row>
    <row r="10" spans="1:3">
      <c r="A10" s="3" t="s">
        <v>3975</v>
      </c>
      <c r="B10" s="2" t="s">
        <v>3982</v>
      </c>
      <c r="C10" s="2" t="s">
        <v>3978</v>
      </c>
    </row>
    <row r="11" spans="1:3">
      <c r="A11" s="3" t="s">
        <v>3976</v>
      </c>
      <c r="B11" s="2" t="s">
        <v>3982</v>
      </c>
      <c r="C11" s="2" t="s">
        <v>3977</v>
      </c>
    </row>
    <row r="14" spans="1:3">
      <c r="A14" s="1" t="s">
        <v>155</v>
      </c>
      <c r="B14" s="1" t="s">
        <v>3981</v>
      </c>
    </row>
    <row r="15" spans="1:3">
      <c r="A15" s="3" t="s">
        <v>3971</v>
      </c>
      <c r="B15" s="7" t="str">
        <f>_xlfn.IFNA(VLOOKUP(A15,$A$2:$B$11,2,0),"Appraisal Pending")</f>
        <v>Complete</v>
      </c>
    </row>
    <row r="16" spans="1:3">
      <c r="A16" s="2" t="s">
        <v>3980</v>
      </c>
      <c r="B16" s="7" t="str">
        <f>_xlfn.IFNA(VLOOKUP(A16,$A$2:$B$11,2,0),"Appraisal Pending")</f>
        <v>Appraisal Pending</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8913-05BB-4327-839B-C7F4EF910356}">
  <sheetPr codeName="Sheet478"/>
  <dimension ref="A1:F11"/>
  <sheetViews>
    <sheetView workbookViewId="0">
      <selection activeCell="B1" sqref="B1"/>
    </sheetView>
  </sheetViews>
  <sheetFormatPr defaultRowHeight="14.4"/>
  <cols>
    <col min="2" max="2" width="10.88671875" bestFit="1" customWidth="1"/>
    <col min="5" max="5" width="7.6640625" customWidth="1"/>
    <col min="6" max="6" width="16.5546875" customWidth="1"/>
  </cols>
  <sheetData>
    <row r="1" spans="1:6">
      <c r="A1" s="1" t="s">
        <v>130</v>
      </c>
      <c r="B1" s="1" t="s">
        <v>3852</v>
      </c>
      <c r="E1" s="1" t="s">
        <v>130</v>
      </c>
      <c r="F1" s="1" t="s">
        <v>3852</v>
      </c>
    </row>
    <row r="2" spans="1:6">
      <c r="A2" s="2" t="s">
        <v>3983</v>
      </c>
      <c r="B2" s="2">
        <v>1000</v>
      </c>
      <c r="E2" s="55" t="s">
        <v>3993</v>
      </c>
      <c r="F2" s="7" t="str">
        <f>_xlfn.IFNA(INDEX(B2:B11,MATCH(E2,A2:A11,0)),"Data Not Available")</f>
        <v>Data Not Available</v>
      </c>
    </row>
    <row r="3" spans="1:6">
      <c r="A3" s="2" t="s">
        <v>3984</v>
      </c>
      <c r="B3" s="2">
        <v>1200</v>
      </c>
    </row>
    <row r="4" spans="1:6">
      <c r="A4" s="2" t="s">
        <v>3985</v>
      </c>
      <c r="B4" s="2">
        <v>900</v>
      </c>
    </row>
    <row r="5" spans="1:6">
      <c r="A5" s="2" t="s">
        <v>3986</v>
      </c>
      <c r="B5" s="2">
        <v>1500</v>
      </c>
    </row>
    <row r="6" spans="1:6">
      <c r="A6" s="2" t="s">
        <v>3987</v>
      </c>
      <c r="B6" s="2">
        <v>2000</v>
      </c>
    </row>
    <row r="7" spans="1:6">
      <c r="A7" s="2" t="s">
        <v>3988</v>
      </c>
      <c r="B7" s="2">
        <v>1800</v>
      </c>
    </row>
    <row r="8" spans="1:6">
      <c r="A8" s="2" t="s">
        <v>3989</v>
      </c>
      <c r="B8" s="2">
        <v>1450</v>
      </c>
    </row>
    <row r="9" spans="1:6">
      <c r="A9" s="2" t="s">
        <v>3990</v>
      </c>
      <c r="B9" s="2">
        <v>2160</v>
      </c>
    </row>
    <row r="10" spans="1:6">
      <c r="A10" s="2" t="s">
        <v>3991</v>
      </c>
      <c r="B10" s="2">
        <v>1620</v>
      </c>
    </row>
    <row r="11" spans="1:6">
      <c r="A11" s="2" t="s">
        <v>3992</v>
      </c>
      <c r="B11" s="2">
        <v>1390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5921-0FB2-4E00-ADB9-53C1A26BAF73}">
  <sheetPr codeName="Sheet479"/>
  <dimension ref="A1:F12"/>
  <sheetViews>
    <sheetView workbookViewId="0">
      <selection activeCell="B1" sqref="B1"/>
    </sheetView>
  </sheetViews>
  <sheetFormatPr defaultRowHeight="14.4"/>
  <cols>
    <col min="1" max="1" width="15.109375" bestFit="1" customWidth="1"/>
    <col min="2" max="2" width="26.6640625" bestFit="1" customWidth="1"/>
    <col min="5" max="5" width="12.5546875" bestFit="1" customWidth="1"/>
    <col min="6" max="6" width="26.6640625" bestFit="1" customWidth="1"/>
  </cols>
  <sheetData>
    <row r="1" spans="1:6">
      <c r="A1" s="1" t="s">
        <v>0</v>
      </c>
      <c r="B1" s="1" t="s">
        <v>3680</v>
      </c>
      <c r="E1" s="1" t="s">
        <v>0</v>
      </c>
      <c r="F1" s="1" t="s">
        <v>3680</v>
      </c>
    </row>
    <row r="2" spans="1:6">
      <c r="A2" s="3" t="s">
        <v>3994</v>
      </c>
      <c r="B2" s="2">
        <v>100</v>
      </c>
      <c r="E2" s="3" t="s">
        <v>3996</v>
      </c>
      <c r="F2" s="7">
        <f t="array" ref="F2:F5">_xlfn.IFNA(VLOOKUP(E2:E5,A2:B11,2,0),"Data Not Found")</f>
        <v>87</v>
      </c>
    </row>
    <row r="3" spans="1:6">
      <c r="A3" s="3" t="s">
        <v>3995</v>
      </c>
      <c r="B3" s="2">
        <v>95</v>
      </c>
      <c r="E3" s="3" t="s">
        <v>4004</v>
      </c>
      <c r="F3" s="7" t="str">
        <v>Data Not Found</v>
      </c>
    </row>
    <row r="4" spans="1:6">
      <c r="A4" s="3" t="s">
        <v>3996</v>
      </c>
      <c r="B4" s="2">
        <v>87</v>
      </c>
      <c r="E4" s="3" t="s">
        <v>4000</v>
      </c>
      <c r="F4" s="7">
        <v>77</v>
      </c>
    </row>
    <row r="5" spans="1:6">
      <c r="A5" s="3" t="s">
        <v>3997</v>
      </c>
      <c r="B5" s="2">
        <v>98</v>
      </c>
      <c r="E5" s="3" t="s">
        <v>4005</v>
      </c>
      <c r="F5" s="7" t="str">
        <v>Data Not Found</v>
      </c>
    </row>
    <row r="6" spans="1:6">
      <c r="A6" s="3" t="s">
        <v>3998</v>
      </c>
      <c r="B6" s="2">
        <v>84</v>
      </c>
    </row>
    <row r="7" spans="1:6">
      <c r="A7" s="3" t="s">
        <v>3999</v>
      </c>
      <c r="B7" s="2">
        <v>75</v>
      </c>
    </row>
    <row r="8" spans="1:6">
      <c r="A8" s="3" t="s">
        <v>4000</v>
      </c>
      <c r="B8" s="2">
        <v>77</v>
      </c>
    </row>
    <row r="9" spans="1:6">
      <c r="A9" s="3" t="s">
        <v>4001</v>
      </c>
      <c r="B9" s="2">
        <v>93</v>
      </c>
    </row>
    <row r="10" spans="1:6">
      <c r="A10" s="3" t="s">
        <v>4002</v>
      </c>
      <c r="B10" s="2">
        <v>97</v>
      </c>
    </row>
    <row r="11" spans="1:6">
      <c r="A11" s="3" t="s">
        <v>4003</v>
      </c>
      <c r="B11" s="2">
        <v>83</v>
      </c>
    </row>
    <row r="12" spans="1:6">
      <c r="F12" s="240"/>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9641-5F74-4DBD-967F-AD4B1BB7CCDE}">
  <sheetPr codeName="Sheet480"/>
  <dimension ref="A1:B4"/>
  <sheetViews>
    <sheetView workbookViewId="0"/>
  </sheetViews>
  <sheetFormatPr defaultRowHeight="14.4"/>
  <cols>
    <col min="1" max="1" width="8.44140625" bestFit="1" customWidth="1"/>
    <col min="2" max="2" width="20.6640625" bestFit="1" customWidth="1"/>
  </cols>
  <sheetData>
    <row r="1" spans="1:2">
      <c r="A1" s="1" t="s">
        <v>1727</v>
      </c>
      <c r="B1" s="1" t="s">
        <v>4006</v>
      </c>
    </row>
    <row r="2" spans="1:2">
      <c r="A2" s="2" t="s">
        <v>2169</v>
      </c>
      <c r="B2" s="7" t="s">
        <v>2169</v>
      </c>
    </row>
    <row r="3" spans="1:2">
      <c r="A3" s="2" t="e">
        <v>#N/A</v>
      </c>
      <c r="B3" s="7" t="s">
        <v>4007</v>
      </c>
    </row>
    <row r="4" spans="1:2">
      <c r="A4" s="2">
        <v>1300</v>
      </c>
      <c r="B4" s="7">
        <v>1300</v>
      </c>
    </row>
  </sheetData>
  <pageMargins left="0.7" right="0.7" top="0.75" bottom="0.75" header="0.3" footer="0.3"/>
  <pageSetup orientation="portrait" horizontalDpi="4294967293" verticalDpi="0"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197A2-17EA-47FC-BFFD-20FB204DECA9}">
  <sheetPr codeName="Sheet481"/>
  <dimension ref="A1:D7"/>
  <sheetViews>
    <sheetView workbookViewId="0">
      <selection activeCell="C2" sqref="C2"/>
    </sheetView>
  </sheetViews>
  <sheetFormatPr defaultRowHeight="14.4"/>
  <cols>
    <col min="1" max="1" width="25.88671875" bestFit="1" customWidth="1"/>
    <col min="2" max="2" width="20.88671875" bestFit="1" customWidth="1"/>
    <col min="3" max="3" width="13.109375" customWidth="1"/>
    <col min="4" max="4" width="33.109375" bestFit="1" customWidth="1"/>
  </cols>
  <sheetData>
    <row r="1" spans="1:4">
      <c r="A1" s="1" t="s">
        <v>4008</v>
      </c>
      <c r="B1" s="1" t="s">
        <v>4054</v>
      </c>
      <c r="C1" s="1" t="s">
        <v>4009</v>
      </c>
      <c r="D1" s="1" t="s">
        <v>1570</v>
      </c>
    </row>
    <row r="2" spans="1:4">
      <c r="A2" s="2" t="s">
        <v>4010</v>
      </c>
      <c r="B2" s="2" t="s">
        <v>4032</v>
      </c>
      <c r="C2" s="241" t="str">
        <f>HYPERLINK(A2,B2)</f>
        <v>ExcelMojo</v>
      </c>
      <c r="D2" s="65" t="s">
        <v>4014</v>
      </c>
    </row>
    <row r="3" spans="1:4">
      <c r="A3" s="2" t="s">
        <v>4011</v>
      </c>
      <c r="B3" s="2" t="s">
        <v>4012</v>
      </c>
      <c r="C3" s="241" t="str">
        <f>HYPERLINK(A3,B3)</f>
        <v>Bing</v>
      </c>
      <c r="D3" s="65" t="s">
        <v>4015</v>
      </c>
    </row>
    <row r="4" spans="1:4">
      <c r="A4" s="2" t="s">
        <v>4013</v>
      </c>
      <c r="B4" s="2" t="s">
        <v>1029</v>
      </c>
      <c r="C4" s="241" t="str">
        <f>HYPERLINK(A4,B4)</f>
        <v>Google</v>
      </c>
      <c r="D4" s="65" t="s">
        <v>4016</v>
      </c>
    </row>
    <row r="7" spans="1:4">
      <c r="C7" s="242"/>
    </row>
  </sheetData>
  <pageMargins left="0.7" right="0.7" top="0.75" bottom="0.75" header="0.3" footer="0.3"/>
  <pageSetup orientation="portrait" horizontalDpi="4294967293" verticalDpi="0"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29E8-B9D8-49A2-9A6E-D3D653FC8125}">
  <sheetPr codeName="Sheet482"/>
  <dimension ref="A1:C7"/>
  <sheetViews>
    <sheetView workbookViewId="0">
      <selection activeCell="C2" sqref="C2"/>
    </sheetView>
  </sheetViews>
  <sheetFormatPr defaultRowHeight="14.4"/>
  <cols>
    <col min="1" max="1" width="22.5546875" customWidth="1"/>
    <col min="2" max="2" width="22.109375" bestFit="1" customWidth="1"/>
    <col min="3" max="3" width="21.5546875" customWidth="1"/>
  </cols>
  <sheetData>
    <row r="1" spans="1:3">
      <c r="A1" s="1" t="s">
        <v>4008</v>
      </c>
      <c r="B1" s="1" t="s">
        <v>4017</v>
      </c>
      <c r="C1" s="1" t="s">
        <v>4009</v>
      </c>
    </row>
    <row r="2" spans="1:3">
      <c r="A2" s="2" t="s">
        <v>4018</v>
      </c>
      <c r="B2" s="2" t="s">
        <v>4019</v>
      </c>
      <c r="C2" s="241" t="str">
        <f>HYPERLINK(A2,B2)</f>
        <v>Microsoft 365: Login</v>
      </c>
    </row>
    <row r="3" spans="1:3">
      <c r="A3" s="2" t="s">
        <v>4021</v>
      </c>
      <c r="B3" s="2" t="s">
        <v>4020</v>
      </c>
      <c r="C3" s="241" t="str">
        <f>HYPERLINK(A3,B3)</f>
        <v>HYPERLINK_Example</v>
      </c>
    </row>
    <row r="6" spans="1:3">
      <c r="C6" s="244"/>
    </row>
    <row r="7" spans="1:3">
      <c r="C7" s="242"/>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0B91-1F88-4894-BF49-2C92C699D725}">
  <sheetPr codeName="Sheet483"/>
  <dimension ref="A1:C4"/>
  <sheetViews>
    <sheetView workbookViewId="0">
      <selection activeCell="C2" sqref="C2"/>
    </sheetView>
  </sheetViews>
  <sheetFormatPr defaultRowHeight="14.4"/>
  <cols>
    <col min="1" max="1" width="60.5546875" bestFit="1" customWidth="1"/>
    <col min="2" max="2" width="44.5546875" bestFit="1" customWidth="1"/>
    <col min="3" max="3" width="45.44140625" customWidth="1"/>
  </cols>
  <sheetData>
    <row r="1" spans="1:3">
      <c r="A1" s="1" t="s">
        <v>4008</v>
      </c>
      <c r="B1" s="1" t="s">
        <v>4017</v>
      </c>
      <c r="C1" s="1" t="s">
        <v>4009</v>
      </c>
    </row>
    <row r="2" spans="1:3">
      <c r="A2" s="2" t="s">
        <v>4022</v>
      </c>
      <c r="B2" s="2" t="s">
        <v>4027</v>
      </c>
      <c r="C2" s="241" t="str">
        <f>HYPERLINK(A2,B2)</f>
        <v>Sample Workbook</v>
      </c>
    </row>
    <row r="3" spans="1:3">
      <c r="A3" s="2" t="s">
        <v>4023</v>
      </c>
      <c r="B3" s="2" t="s">
        <v>4028</v>
      </c>
      <c r="C3" s="241" t="str">
        <f>HYPERLINK(A3,B3)</f>
        <v>Sample Workbook_Sheet 6_Cell A1</v>
      </c>
    </row>
    <row r="4" spans="1:3">
      <c r="A4" s="2" t="s">
        <v>4024</v>
      </c>
      <c r="B4" s="2" t="s">
        <v>4029</v>
      </c>
      <c r="C4" s="241" t="str">
        <f>HYPERLINK(A4,B4)</f>
        <v>Sample Workbook_Sheet 6_Sample Named Range</v>
      </c>
    </row>
  </sheetData>
  <pageMargins left="0.7" right="0.7" top="0.75" bottom="0.75" header="0.3" footer="0.3"/>
  <pageSetup orientation="portrait" horizontalDpi="4294967293" verticalDpi="0"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B4DB-BA45-4DF9-9C00-02567170F797}">
  <sheetPr codeName="Sheet484"/>
  <dimension ref="A1:C4"/>
  <sheetViews>
    <sheetView workbookViewId="0">
      <selection activeCell="C2" sqref="C2"/>
    </sheetView>
  </sheetViews>
  <sheetFormatPr defaultRowHeight="14.4"/>
  <cols>
    <col min="1" max="1" width="53.33203125" bestFit="1" customWidth="1"/>
    <col min="2" max="2" width="31.88671875" bestFit="1" customWidth="1"/>
    <col min="3" max="3" width="32" bestFit="1" customWidth="1"/>
  </cols>
  <sheetData>
    <row r="1" spans="1:3">
      <c r="A1" s="1" t="s">
        <v>4008</v>
      </c>
      <c r="B1" s="1" t="s">
        <v>4017</v>
      </c>
      <c r="C1" s="1" t="s">
        <v>4009</v>
      </c>
    </row>
    <row r="2" spans="1:3">
      <c r="A2" s="2" t="s">
        <v>4025</v>
      </c>
      <c r="B2" s="2" t="s">
        <v>4026</v>
      </c>
      <c r="C2" s="241" t="str">
        <f>HYPERLINK(A2,B2)</f>
        <v>Sample Word File</v>
      </c>
    </row>
    <row r="3" spans="1:3">
      <c r="A3" s="2" t="s">
        <v>4030</v>
      </c>
      <c r="B3" s="2" t="s">
        <v>4031</v>
      </c>
      <c r="C3" s="241" t="str">
        <f>HYPERLINK(A3,B3)</f>
        <v>Sample Word File_Sample Bookmark</v>
      </c>
    </row>
    <row r="4" spans="1:3">
      <c r="A4" s="2" t="s">
        <v>4033</v>
      </c>
      <c r="B4" s="2" t="s">
        <v>4034</v>
      </c>
      <c r="C4" s="241" t="str">
        <f>HYPERLINK(A4,B4)</f>
        <v>Server1_Sample Word File</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6A2-4692-4518-A57B-3F3C99C09A03}">
  <sheetPr codeName="Sheet485"/>
  <dimension ref="A1:D16"/>
  <sheetViews>
    <sheetView workbookViewId="0">
      <selection activeCell="C2" sqref="C2"/>
    </sheetView>
  </sheetViews>
  <sheetFormatPr defaultRowHeight="14.4"/>
  <cols>
    <col min="1" max="1" width="9.6640625" customWidth="1"/>
    <col min="2" max="2" width="16.44140625" bestFit="1" customWidth="1"/>
    <col min="3" max="3" width="17.5546875" bestFit="1" customWidth="1"/>
    <col min="4" max="4" width="15.109375" bestFit="1" customWidth="1"/>
  </cols>
  <sheetData>
    <row r="1" spans="1:4">
      <c r="A1" s="1" t="s">
        <v>3404</v>
      </c>
      <c r="B1" s="1" t="s">
        <v>4043</v>
      </c>
      <c r="C1" s="1" t="s">
        <v>4035</v>
      </c>
      <c r="D1" s="1" t="s">
        <v>4040</v>
      </c>
    </row>
    <row r="2" spans="1:4">
      <c r="A2" s="2" t="s">
        <v>4036</v>
      </c>
      <c r="B2" s="2" t="s">
        <v>4039</v>
      </c>
      <c r="C2" s="20">
        <v>44571</v>
      </c>
      <c r="D2" s="2">
        <v>50</v>
      </c>
    </row>
    <row r="3" spans="1:4">
      <c r="A3" s="2" t="s">
        <v>4037</v>
      </c>
      <c r="B3" s="2" t="s">
        <v>4041</v>
      </c>
      <c r="C3" s="20">
        <v>44576</v>
      </c>
      <c r="D3" s="2">
        <v>20</v>
      </c>
    </row>
    <row r="4" spans="1:4">
      <c r="A4" s="2" t="s">
        <v>4038</v>
      </c>
      <c r="B4" s="2" t="s">
        <v>4039</v>
      </c>
      <c r="C4" s="20">
        <v>44578</v>
      </c>
      <c r="D4" s="2">
        <v>55</v>
      </c>
    </row>
    <row r="5" spans="1:4">
      <c r="A5" s="2" t="s">
        <v>4044</v>
      </c>
      <c r="B5" s="2" t="s">
        <v>4041</v>
      </c>
      <c r="C5" s="20">
        <v>44583</v>
      </c>
      <c r="D5" s="2">
        <v>30</v>
      </c>
    </row>
    <row r="6" spans="1:4">
      <c r="A6" s="2" t="s">
        <v>4036</v>
      </c>
      <c r="B6" s="2" t="s">
        <v>4041</v>
      </c>
      <c r="C6" s="20">
        <v>44586</v>
      </c>
      <c r="D6" s="2">
        <v>10</v>
      </c>
    </row>
    <row r="7" spans="1:4">
      <c r="A7" s="2" t="s">
        <v>4045</v>
      </c>
      <c r="B7" s="2" t="s">
        <v>4042</v>
      </c>
      <c r="C7" s="20">
        <v>44590</v>
      </c>
      <c r="D7" s="2">
        <v>25</v>
      </c>
    </row>
    <row r="8" spans="1:4">
      <c r="A8" s="2" t="s">
        <v>4037</v>
      </c>
      <c r="B8" s="2" t="s">
        <v>4039</v>
      </c>
      <c r="C8" s="20">
        <v>44593</v>
      </c>
      <c r="D8" s="2">
        <v>35</v>
      </c>
    </row>
    <row r="9" spans="1:4">
      <c r="A9" s="2" t="s">
        <v>4044</v>
      </c>
      <c r="B9" s="2" t="s">
        <v>4042</v>
      </c>
      <c r="C9" s="20">
        <v>44605</v>
      </c>
      <c r="D9" s="2">
        <v>40</v>
      </c>
    </row>
    <row r="10" spans="1:4">
      <c r="A10" s="2" t="s">
        <v>4038</v>
      </c>
      <c r="B10" s="2" t="s">
        <v>4039</v>
      </c>
      <c r="C10" s="20">
        <v>44611</v>
      </c>
      <c r="D10" s="2">
        <v>15</v>
      </c>
    </row>
    <row r="11" spans="1:4">
      <c r="A11" s="2" t="s">
        <v>4045</v>
      </c>
      <c r="B11" s="2" t="s">
        <v>4042</v>
      </c>
      <c r="C11" s="20">
        <v>44615</v>
      </c>
      <c r="D11" s="2">
        <v>10</v>
      </c>
    </row>
    <row r="14" spans="1:4">
      <c r="A14" s="1" t="s">
        <v>3404</v>
      </c>
      <c r="B14" s="1" t="s">
        <v>4046</v>
      </c>
    </row>
    <row r="15" spans="1:4">
      <c r="A15" s="2" t="s">
        <v>4044</v>
      </c>
      <c r="B15" s="241" t="str">
        <f ca="1">HYPERLINK("#"&amp;CELL("address",INDEX($B$2:$B$11,MATCH($A15,$A$2:$A$11,0))),INDEX($B$2:$B$11,MATCH($A15,$A$2:$A$11,0)))</f>
        <v>Table_Grade2</v>
      </c>
    </row>
    <row r="16" spans="1:4">
      <c r="A16" s="2" t="s">
        <v>4045</v>
      </c>
      <c r="B16" s="241" t="str">
        <f ca="1">HYPERLINK("#"&amp;CELL("address",INDEX($B$2:$B$11,MATCH($A16,$A$2:$A$11,0))),INDEX($B$2:$B$11,MATCH($A16,$A$2:$A$11,0)))</f>
        <v>Table_Grade3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2DE0-471B-40AA-AE2E-E96294BDB15C}">
  <sheetPr codeName="Sheet486"/>
  <dimension ref="A1:C3"/>
  <sheetViews>
    <sheetView workbookViewId="0">
      <selection activeCell="C3" sqref="C3"/>
    </sheetView>
  </sheetViews>
  <sheetFormatPr defaultRowHeight="14.4"/>
  <cols>
    <col min="1" max="1" width="38.5546875" bestFit="1" customWidth="1"/>
    <col min="2" max="2" width="37.109375" bestFit="1" customWidth="1"/>
    <col min="3" max="3" width="44.44140625" bestFit="1" customWidth="1"/>
  </cols>
  <sheetData>
    <row r="1" spans="1:3">
      <c r="A1" s="1" t="s">
        <v>4051</v>
      </c>
      <c r="B1" s="1" t="s">
        <v>4055</v>
      </c>
      <c r="C1" s="1" t="s">
        <v>4009</v>
      </c>
    </row>
    <row r="2" spans="1:3">
      <c r="A2" s="243" t="s">
        <v>4050</v>
      </c>
      <c r="B2" s="2" t="s">
        <v>4047</v>
      </c>
      <c r="C2" s="241" t="str">
        <f>HYPERLINK("mailto:"&amp;A2,B2)</f>
        <v>Email Customer Support Team</v>
      </c>
    </row>
    <row r="3" spans="1:3">
      <c r="A3" s="2" t="s">
        <v>4048</v>
      </c>
      <c r="B3" s="2" t="s">
        <v>4049</v>
      </c>
      <c r="C3" s="241" t="str">
        <f>HYPERLINK("mailto:"&amp;A3,B3)</f>
        <v>Customer Support Team</v>
      </c>
    </row>
  </sheetData>
  <hyperlinks>
    <hyperlink ref="A2" r:id="rId1" xr:uid="{2AC8AE7D-1E39-4CFA-B3BF-05EDD9EDCE9D}"/>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8398-2DB0-4CCD-89E0-EDB3E8D75342}">
  <sheetPr codeName="Sheet487"/>
  <dimension ref="A1:C11"/>
  <sheetViews>
    <sheetView workbookViewId="0"/>
  </sheetViews>
  <sheetFormatPr defaultRowHeight="14.4"/>
  <cols>
    <col min="1" max="1" width="13.88671875" bestFit="1" customWidth="1"/>
    <col min="2" max="2" width="22.109375" bestFit="1" customWidth="1"/>
    <col min="3" max="3" width="11.88671875" customWidth="1"/>
  </cols>
  <sheetData>
    <row r="1" spans="1:3">
      <c r="A1" s="1" t="s">
        <v>4008</v>
      </c>
      <c r="B1" s="1" t="s">
        <v>4017</v>
      </c>
      <c r="C1" s="1" t="s">
        <v>4009</v>
      </c>
    </row>
    <row r="2" spans="1:3">
      <c r="A2" s="2" t="s">
        <v>4052</v>
      </c>
      <c r="B2" s="2" t="s">
        <v>4053</v>
      </c>
      <c r="C2" s="241" t="str">
        <f>HYPERLINK("#A11",B2)</f>
        <v>Target Cell</v>
      </c>
    </row>
    <row r="11" spans="1:3">
      <c r="A11" s="1" t="s">
        <v>4053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AFC0-CEA2-4028-BE94-E40A1999C1EF}">
  <sheetPr codeName="Sheet488"/>
  <dimension ref="A1:J11"/>
  <sheetViews>
    <sheetView workbookViewId="0">
      <selection activeCell="D2" sqref="D2"/>
    </sheetView>
  </sheetViews>
  <sheetFormatPr defaultRowHeight="14.4"/>
  <cols>
    <col min="1" max="2" width="7.5546875" bestFit="1" customWidth="1"/>
    <col min="4" max="4" width="28.109375" bestFit="1" customWidth="1"/>
    <col min="6" max="6" width="28.33203125" bestFit="1" customWidth="1"/>
  </cols>
  <sheetData>
    <row r="1" spans="1:10">
      <c r="A1" s="1" t="s">
        <v>4056</v>
      </c>
      <c r="B1" s="1" t="s">
        <v>4057</v>
      </c>
      <c r="D1" s="1" t="s">
        <v>4065</v>
      </c>
      <c r="F1" s="369" t="s">
        <v>4064</v>
      </c>
      <c r="G1" s="369"/>
      <c r="H1" s="369"/>
      <c r="I1" s="369"/>
      <c r="J1" s="369"/>
    </row>
    <row r="2" spans="1:10">
      <c r="A2" s="2">
        <v>95</v>
      </c>
      <c r="B2" s="2">
        <v>56</v>
      </c>
      <c r="D2" s="7">
        <f>FTEST(A2:A7,B2:B7)</f>
        <v>2.3371419529718972E-3</v>
      </c>
      <c r="F2" t="s">
        <v>4058</v>
      </c>
    </row>
    <row r="3" spans="1:10" ht="15" thickBot="1">
      <c r="A3" s="2">
        <v>25</v>
      </c>
      <c r="B3" s="2">
        <v>52</v>
      </c>
    </row>
    <row r="4" spans="1:10">
      <c r="A4" s="2">
        <v>88</v>
      </c>
      <c r="B4" s="2">
        <v>44</v>
      </c>
      <c r="F4" s="245"/>
      <c r="G4" s="245" t="s">
        <v>4056</v>
      </c>
      <c r="H4" s="245" t="s">
        <v>4057</v>
      </c>
    </row>
    <row r="5" spans="1:10">
      <c r="A5" s="2">
        <v>65</v>
      </c>
      <c r="B5" s="2">
        <v>56</v>
      </c>
      <c r="F5" t="s">
        <v>3817</v>
      </c>
      <c r="G5">
        <v>61.666666666666664</v>
      </c>
      <c r="H5">
        <v>53</v>
      </c>
    </row>
    <row r="6" spans="1:10">
      <c r="A6" s="2">
        <v>50</v>
      </c>
      <c r="B6" s="2">
        <v>52</v>
      </c>
      <c r="F6" t="s">
        <v>4059</v>
      </c>
      <c r="G6">
        <v>702.26666666666642</v>
      </c>
      <c r="H6">
        <v>25.2</v>
      </c>
    </row>
    <row r="7" spans="1:10">
      <c r="A7" s="2">
        <v>47</v>
      </c>
      <c r="B7" s="2">
        <v>58</v>
      </c>
      <c r="F7" t="s">
        <v>4060</v>
      </c>
      <c r="G7">
        <v>6</v>
      </c>
      <c r="H7">
        <v>6</v>
      </c>
    </row>
    <row r="8" spans="1:10">
      <c r="F8" t="s">
        <v>4061</v>
      </c>
      <c r="G8">
        <v>5</v>
      </c>
      <c r="H8">
        <v>5</v>
      </c>
    </row>
    <row r="9" spans="1:10">
      <c r="F9" t="s">
        <v>2495</v>
      </c>
      <c r="G9" s="131">
        <v>27.86772486772486</v>
      </c>
    </row>
    <row r="10" spans="1:10">
      <c r="F10" t="s">
        <v>4062</v>
      </c>
      <c r="G10" s="131">
        <v>1.1685709764859486E-3</v>
      </c>
    </row>
    <row r="11" spans="1:10" ht="15" thickBot="1">
      <c r="F11" s="169" t="s">
        <v>4063</v>
      </c>
      <c r="G11" s="246">
        <v>5.0503290576326485</v>
      </c>
      <c r="H11" s="169"/>
    </row>
  </sheetData>
  <mergeCells count="1">
    <mergeCell ref="F1:J1"/>
  </mergeCells>
  <pageMargins left="0.7" right="0.7" top="0.75" bottom="0.75" header="0.3" footer="0.3"/>
  <pageSetup orientation="portrait" horizontalDpi="4294967293" verticalDpi="0"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667F-1821-4E67-A458-42C51352AB31}">
  <sheetPr codeName="Sheet489"/>
  <dimension ref="A1:H11"/>
  <sheetViews>
    <sheetView workbookViewId="0">
      <selection activeCell="D2" sqref="D2"/>
    </sheetView>
  </sheetViews>
  <sheetFormatPr defaultRowHeight="14.4"/>
  <cols>
    <col min="1" max="1" width="20.109375" bestFit="1" customWidth="1"/>
    <col min="2" max="2" width="22" bestFit="1" customWidth="1"/>
    <col min="4" max="4" width="28.109375" bestFit="1" customWidth="1"/>
    <col min="6" max="6" width="28.33203125" bestFit="1" customWidth="1"/>
    <col min="7" max="7" width="20.44140625" bestFit="1" customWidth="1"/>
    <col min="8" max="8" width="22.33203125" bestFit="1" customWidth="1"/>
  </cols>
  <sheetData>
    <row r="1" spans="1:8">
      <c r="A1" s="1" t="s">
        <v>4066</v>
      </c>
      <c r="B1" s="1" t="s">
        <v>4067</v>
      </c>
      <c r="D1" s="1" t="s">
        <v>4065</v>
      </c>
      <c r="F1" s="369" t="s">
        <v>4064</v>
      </c>
      <c r="G1" s="369"/>
      <c r="H1" s="369"/>
    </row>
    <row r="2" spans="1:8">
      <c r="A2" s="2">
        <v>69</v>
      </c>
      <c r="B2" s="2">
        <v>63</v>
      </c>
      <c r="D2" s="7">
        <f>FTEST(A2:A7,B2:B7)</f>
        <v>0.9913164679407247</v>
      </c>
      <c r="F2" t="s">
        <v>4058</v>
      </c>
    </row>
    <row r="3" spans="1:8" ht="15" thickBot="1">
      <c r="A3" s="2">
        <v>68.5</v>
      </c>
      <c r="B3" s="2">
        <v>64</v>
      </c>
    </row>
    <row r="4" spans="1:8">
      <c r="A4" s="2">
        <v>69.5</v>
      </c>
      <c r="B4" s="2">
        <v>61</v>
      </c>
      <c r="F4" s="245"/>
      <c r="G4" s="245" t="s">
        <v>4066</v>
      </c>
      <c r="H4" s="245" t="s">
        <v>4067</v>
      </c>
    </row>
    <row r="5" spans="1:8">
      <c r="A5" s="2">
        <v>65</v>
      </c>
      <c r="B5" s="2">
        <v>60</v>
      </c>
      <c r="F5" t="s">
        <v>3817</v>
      </c>
      <c r="G5">
        <v>68.25</v>
      </c>
      <c r="H5">
        <v>62.083333333333336</v>
      </c>
    </row>
    <row r="6" spans="1:8">
      <c r="A6" s="2">
        <v>70</v>
      </c>
      <c r="B6" s="2">
        <v>60.5</v>
      </c>
      <c r="F6" t="s">
        <v>4059</v>
      </c>
      <c r="G6">
        <v>3.2749999999999999</v>
      </c>
      <c r="H6">
        <v>3.2416666666666663</v>
      </c>
    </row>
    <row r="7" spans="1:8">
      <c r="A7" s="2">
        <v>67.5</v>
      </c>
      <c r="B7" s="2">
        <v>64</v>
      </c>
      <c r="F7" t="s">
        <v>4060</v>
      </c>
      <c r="G7">
        <v>6</v>
      </c>
      <c r="H7">
        <v>6</v>
      </c>
    </row>
    <row r="8" spans="1:8">
      <c r="F8" t="s">
        <v>4061</v>
      </c>
      <c r="G8">
        <v>5</v>
      </c>
      <c r="H8">
        <v>5</v>
      </c>
    </row>
    <row r="9" spans="1:8">
      <c r="F9" t="s">
        <v>2495</v>
      </c>
      <c r="G9" s="131">
        <v>1.0102827763496145</v>
      </c>
    </row>
    <row r="10" spans="1:8">
      <c r="F10" t="s">
        <v>4062</v>
      </c>
      <c r="G10" s="131">
        <v>0.49565823397036224</v>
      </c>
    </row>
    <row r="11" spans="1:8" ht="15" thickBot="1">
      <c r="F11" s="169" t="s">
        <v>4063</v>
      </c>
      <c r="G11" s="246">
        <v>5.0503290576326485</v>
      </c>
      <c r="H11" s="169"/>
    </row>
  </sheetData>
  <mergeCells count="1">
    <mergeCell ref="F1:H1"/>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6A23E-F7C4-42D1-95AA-1DF3952D96A8}">
  <sheetPr codeName="Sheet490"/>
  <dimension ref="A1:B9"/>
  <sheetViews>
    <sheetView workbookViewId="0">
      <selection activeCell="D2" sqref="D2"/>
    </sheetView>
  </sheetViews>
  <sheetFormatPr defaultRowHeight="14.4"/>
  <cols>
    <col min="1" max="2" width="14.44140625" bestFit="1" customWidth="1"/>
  </cols>
  <sheetData>
    <row r="1" spans="1:2">
      <c r="A1" s="1" t="s">
        <v>4069</v>
      </c>
      <c r="B1" s="1" t="s">
        <v>4068</v>
      </c>
    </row>
    <row r="2" spans="1:2">
      <c r="A2" s="2">
        <v>5.5</v>
      </c>
      <c r="B2" s="2">
        <v>5.2</v>
      </c>
    </row>
    <row r="3" spans="1:2">
      <c r="A3" s="2">
        <v>5</v>
      </c>
      <c r="B3" s="2">
        <v>4.3</v>
      </c>
    </row>
    <row r="4" spans="1:2">
      <c r="A4" s="2">
        <v>6</v>
      </c>
      <c r="B4" s="2">
        <v>3.6</v>
      </c>
    </row>
    <row r="5" spans="1:2">
      <c r="A5" s="2">
        <v>5.2</v>
      </c>
      <c r="B5" s="2">
        <v>4.9000000000000004</v>
      </c>
    </row>
    <row r="6" spans="1:2">
      <c r="A6" s="2">
        <v>5.8</v>
      </c>
      <c r="B6" s="2">
        <v>5</v>
      </c>
    </row>
    <row r="7" spans="1:2">
      <c r="A7" s="2">
        <v>7</v>
      </c>
      <c r="B7" s="2">
        <v>5.8</v>
      </c>
    </row>
    <row r="9" spans="1:2" ht="43.2">
      <c r="A9" s="8" t="s">
        <v>4070</v>
      </c>
      <c r="B9" s="47">
        <f>FTEST(A2:A7,B2:B7)</f>
        <v>0.89284701304648406</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BC5-97C9-4815-8ACC-E5F9CD96B7D7}">
  <sheetPr codeName="Sheet491"/>
  <dimension ref="A1:B14"/>
  <sheetViews>
    <sheetView workbookViewId="0">
      <selection activeCell="D2" sqref="D2"/>
    </sheetView>
  </sheetViews>
  <sheetFormatPr defaultRowHeight="14.4"/>
  <cols>
    <col min="1" max="2" width="22.6640625" bestFit="1" customWidth="1"/>
  </cols>
  <sheetData>
    <row r="1" spans="1:2">
      <c r="A1" s="1" t="s">
        <v>4071</v>
      </c>
      <c r="B1" s="1" t="s">
        <v>4072</v>
      </c>
    </row>
    <row r="2" spans="1:2">
      <c r="A2" s="2">
        <v>90</v>
      </c>
      <c r="B2" s="2">
        <v>93</v>
      </c>
    </row>
    <row r="3" spans="1:2">
      <c r="A3" s="2">
        <v>88</v>
      </c>
      <c r="B3" s="2">
        <v>80</v>
      </c>
    </row>
    <row r="4" spans="1:2">
      <c r="A4" s="2">
        <v>92</v>
      </c>
      <c r="B4" s="2">
        <v>89</v>
      </c>
    </row>
    <row r="5" spans="1:2">
      <c r="A5" s="2">
        <v>75</v>
      </c>
      <c r="B5" s="2">
        <v>90</v>
      </c>
    </row>
    <row r="6" spans="1:2">
      <c r="A6" s="2">
        <v>89</v>
      </c>
      <c r="B6" s="2">
        <v>72</v>
      </c>
    </row>
    <row r="7" spans="1:2">
      <c r="A7" s="2">
        <v>93</v>
      </c>
      <c r="B7" s="2">
        <v>88</v>
      </c>
    </row>
    <row r="8" spans="1:2">
      <c r="A8" s="2">
        <v>80</v>
      </c>
      <c r="B8" s="2">
        <v>88</v>
      </c>
    </row>
    <row r="9" spans="1:2">
      <c r="A9" s="2">
        <v>85</v>
      </c>
      <c r="B9" s="2">
        <v>92</v>
      </c>
    </row>
    <row r="10" spans="1:2">
      <c r="A10" s="2">
        <v>72</v>
      </c>
      <c r="B10" s="2">
        <v>85</v>
      </c>
    </row>
    <row r="11" spans="1:2">
      <c r="A11" s="2">
        <v>88</v>
      </c>
      <c r="B11" s="2">
        <v>75</v>
      </c>
    </row>
    <row r="13" spans="1:2">
      <c r="A13" s="1" t="s">
        <v>4073</v>
      </c>
      <c r="B13" s="7">
        <f>FTEST(A2:A11,B2:B11)</f>
        <v>1</v>
      </c>
    </row>
    <row r="14" spans="1:2">
      <c r="A14" s="1" t="s">
        <v>4074</v>
      </c>
      <c r="B14" s="7">
        <f>_xlfn.F.TEST(A2:A11,B2:B11)</f>
        <v>1</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94-B650-4C7E-9D1B-C378567B90A8}">
  <sheetPr codeName="Sheet492"/>
  <dimension ref="A1:F11"/>
  <sheetViews>
    <sheetView workbookViewId="0">
      <selection activeCell="D2" sqref="D2"/>
    </sheetView>
  </sheetViews>
  <sheetFormatPr defaultRowHeight="14.4"/>
  <cols>
    <col min="1" max="2" width="20.33203125" bestFit="1" customWidth="1"/>
    <col min="4" max="4" width="28.33203125" bestFit="1" customWidth="1"/>
    <col min="5" max="6" width="20.88671875" bestFit="1" customWidth="1"/>
  </cols>
  <sheetData>
    <row r="1" spans="1:6">
      <c r="A1" s="1" t="s">
        <v>4075</v>
      </c>
      <c r="B1" s="1" t="s">
        <v>4076</v>
      </c>
      <c r="D1" s="371" t="s">
        <v>4064</v>
      </c>
      <c r="E1" s="372"/>
      <c r="F1" s="373"/>
    </row>
    <row r="2" spans="1:6">
      <c r="A2" s="2">
        <v>22</v>
      </c>
      <c r="B2" s="2">
        <v>30</v>
      </c>
      <c r="D2" t="s">
        <v>4058</v>
      </c>
    </row>
    <row r="3" spans="1:6" ht="15" thickBot="1">
      <c r="A3" s="2">
        <v>40</v>
      </c>
      <c r="B3" s="2">
        <v>42</v>
      </c>
    </row>
    <row r="4" spans="1:6">
      <c r="A4" s="2">
        <v>31</v>
      </c>
      <c r="B4" s="2">
        <v>33</v>
      </c>
      <c r="D4" s="245"/>
      <c r="E4" s="245" t="s">
        <v>4075</v>
      </c>
      <c r="F4" s="245" t="s">
        <v>4076</v>
      </c>
    </row>
    <row r="5" spans="1:6">
      <c r="A5" s="2">
        <v>39</v>
      </c>
      <c r="B5" s="2">
        <v>41</v>
      </c>
      <c r="D5" t="s">
        <v>3817</v>
      </c>
      <c r="E5">
        <v>34.666666666666664</v>
      </c>
      <c r="F5">
        <v>35.666666666666664</v>
      </c>
    </row>
    <row r="6" spans="1:6">
      <c r="A6" s="2">
        <v>34</v>
      </c>
      <c r="B6" s="2">
        <v>29</v>
      </c>
      <c r="D6" t="s">
        <v>4059</v>
      </c>
      <c r="E6">
        <v>33.75</v>
      </c>
      <c r="F6">
        <v>21</v>
      </c>
    </row>
    <row r="7" spans="1:6">
      <c r="A7" s="2">
        <v>35</v>
      </c>
      <c r="B7" s="2">
        <v>37</v>
      </c>
      <c r="D7" t="s">
        <v>4060</v>
      </c>
      <c r="E7">
        <v>9</v>
      </c>
      <c r="F7">
        <v>9</v>
      </c>
    </row>
    <row r="8" spans="1:6">
      <c r="A8" s="2">
        <v>33</v>
      </c>
      <c r="B8" s="2">
        <v>34</v>
      </c>
      <c r="D8" t="s">
        <v>4061</v>
      </c>
      <c r="E8">
        <v>8</v>
      </c>
      <c r="F8">
        <v>8</v>
      </c>
    </row>
    <row r="9" spans="1:6">
      <c r="A9" s="2">
        <v>41</v>
      </c>
      <c r="B9" s="2">
        <v>36</v>
      </c>
      <c r="D9" t="s">
        <v>2495</v>
      </c>
      <c r="E9" s="131">
        <v>1.6071428571428572</v>
      </c>
    </row>
    <row r="10" spans="1:6">
      <c r="A10" s="2">
        <v>37</v>
      </c>
      <c r="B10" s="2">
        <v>39</v>
      </c>
      <c r="D10" t="s">
        <v>4062</v>
      </c>
      <c r="E10" s="131">
        <v>0.25866069269904185</v>
      </c>
    </row>
    <row r="11" spans="1:6" ht="15" thickBot="1">
      <c r="D11" s="169" t="s">
        <v>4063</v>
      </c>
      <c r="E11" s="246">
        <v>3.4381012333731586</v>
      </c>
      <c r="F11" s="169"/>
    </row>
  </sheetData>
  <mergeCells count="1">
    <mergeCell ref="D1:F1"/>
  </mergeCells>
  <pageMargins left="0.7" right="0.7" top="0.75" bottom="0.75" header="0.3" footer="0.3"/>
  <pageSetup orientation="portrait" horizontalDpi="4294967293" verticalDpi="0"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6BC1-0901-43CB-872C-EC7189C48393}">
  <sheetPr codeName="Sheet493"/>
  <dimension ref="A1:B10"/>
  <sheetViews>
    <sheetView workbookViewId="0"/>
  </sheetViews>
  <sheetFormatPr defaultRowHeight="14.4"/>
  <cols>
    <col min="1" max="2" width="24.6640625" bestFit="1" customWidth="1"/>
  </cols>
  <sheetData>
    <row r="1" spans="1:2">
      <c r="A1" s="1" t="s">
        <v>4077</v>
      </c>
      <c r="B1" s="1" t="s">
        <v>4078</v>
      </c>
    </row>
    <row r="2" spans="1:2">
      <c r="A2" s="2">
        <v>199</v>
      </c>
      <c r="B2" s="2">
        <v>170</v>
      </c>
    </row>
    <row r="3" spans="1:2">
      <c r="A3" s="2">
        <v>180</v>
      </c>
      <c r="B3" s="2">
        <v>191</v>
      </c>
    </row>
    <row r="4" spans="1:2">
      <c r="A4" s="2">
        <v>188</v>
      </c>
      <c r="B4" s="2">
        <v>184</v>
      </c>
    </row>
    <row r="5" spans="1:2">
      <c r="A5" s="2">
        <v>175</v>
      </c>
      <c r="B5" s="2">
        <v>199</v>
      </c>
    </row>
    <row r="6" spans="1:2">
      <c r="A6" s="2">
        <v>183</v>
      </c>
      <c r="B6" s="2">
        <v>179</v>
      </c>
    </row>
    <row r="7" spans="1:2">
      <c r="A7" s="2">
        <v>195</v>
      </c>
    </row>
    <row r="10" spans="1:2">
      <c r="A10" s="1" t="s">
        <v>4079</v>
      </c>
      <c r="B10" s="7">
        <f>FTEST(A2:A7,B2:B6)</f>
        <v>0.66962621882729878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DE1-E5AC-41D2-947A-18CFE1881B46}">
  <sheetPr codeName="Sheet494"/>
  <dimension ref="A1:D6"/>
  <sheetViews>
    <sheetView workbookViewId="0">
      <selection activeCell="D9" sqref="D9"/>
    </sheetView>
  </sheetViews>
  <sheetFormatPr defaultRowHeight="14.4"/>
  <cols>
    <col min="1" max="1" width="25.88671875" bestFit="1" customWidth="1"/>
    <col min="3" max="3" width="11.88671875" customWidth="1"/>
    <col min="4" max="4" width="24.33203125" bestFit="1" customWidth="1"/>
  </cols>
  <sheetData>
    <row r="1" spans="1:4">
      <c r="A1" s="1" t="s">
        <v>622</v>
      </c>
      <c r="B1" s="1" t="s">
        <v>153</v>
      </c>
      <c r="C1" s="1" t="s">
        <v>1384</v>
      </c>
      <c r="D1" s="1" t="s">
        <v>1570</v>
      </c>
    </row>
    <row r="2" spans="1:4">
      <c r="A2" s="2" t="s">
        <v>4085</v>
      </c>
      <c r="B2" s="2">
        <v>5</v>
      </c>
      <c r="C2" s="7">
        <f>EXP(B2)</f>
        <v>148.4131591025766</v>
      </c>
      <c r="D2" s="65" t="s">
        <v>4080</v>
      </c>
    </row>
    <row r="3" spans="1:4">
      <c r="A3" s="2" t="s">
        <v>4086</v>
      </c>
      <c r="B3" s="2">
        <v>1</v>
      </c>
      <c r="C3" s="7">
        <f t="shared" ref="C3:C6" si="0">EXP(B3)</f>
        <v>2.7182818284590451</v>
      </c>
      <c r="D3" s="65" t="s">
        <v>4081</v>
      </c>
    </row>
    <row r="4" spans="1:4">
      <c r="A4" s="2" t="s">
        <v>4087</v>
      </c>
      <c r="B4" s="2">
        <v>0</v>
      </c>
      <c r="C4" s="7">
        <f t="shared" si="0"/>
        <v>1</v>
      </c>
      <c r="D4" s="65" t="s">
        <v>4082</v>
      </c>
    </row>
    <row r="5" spans="1:4">
      <c r="A5" s="2" t="s">
        <v>4088</v>
      </c>
      <c r="B5" s="2">
        <v>-1</v>
      </c>
      <c r="C5" s="7">
        <f t="shared" si="0"/>
        <v>0.36787944117144233</v>
      </c>
      <c r="D5" s="65" t="s">
        <v>4083</v>
      </c>
    </row>
    <row r="6" spans="1:4">
      <c r="A6" s="2" t="s">
        <v>4089</v>
      </c>
      <c r="B6" s="2">
        <v>-5</v>
      </c>
      <c r="C6" s="7">
        <f t="shared" si="0"/>
        <v>6.737946999085467E-3</v>
      </c>
      <c r="D6" s="65" t="s">
        <v>4084</v>
      </c>
    </row>
  </sheetData>
  <pageMargins left="0.7" right="0.7" top="0.75" bottom="0.75" header="0.3" footer="0.3"/>
  <pageSetup orientation="portrait" horizontalDpi="4294967293" verticalDpi="0"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2059-DD78-4556-81B4-53B4A138A7C6}">
  <sheetPr codeName="Sheet495"/>
  <dimension ref="A1:C6"/>
  <sheetViews>
    <sheetView workbookViewId="0">
      <selection activeCell="D9" sqref="D9"/>
    </sheetView>
  </sheetViews>
  <sheetFormatPr defaultRowHeight="14.4"/>
  <cols>
    <col min="1" max="1" width="27.44140625" bestFit="1" customWidth="1"/>
    <col min="2" max="2" width="7.5546875" bestFit="1" customWidth="1"/>
    <col min="3" max="3" width="11.88671875" bestFit="1" customWidth="1"/>
    <col min="6" max="6" width="11.88671875" bestFit="1" customWidth="1"/>
  </cols>
  <sheetData>
    <row r="1" spans="1:3">
      <c r="A1" s="1" t="s">
        <v>622</v>
      </c>
      <c r="B1" s="1" t="s">
        <v>153</v>
      </c>
      <c r="C1" s="1" t="s">
        <v>1384</v>
      </c>
    </row>
    <row r="2" spans="1:3">
      <c r="A2" s="2" t="s">
        <v>4090</v>
      </c>
      <c r="B2" s="2">
        <v>2.2999999999999998</v>
      </c>
      <c r="C2" s="7">
        <f>EXP(B2)</f>
        <v>9.9741824548147182</v>
      </c>
    </row>
    <row r="3" spans="1:3">
      <c r="A3" s="2" t="s">
        <v>4091</v>
      </c>
      <c r="B3" s="2">
        <v>9</v>
      </c>
      <c r="C3" s="7">
        <f t="shared" ref="C3:C6" si="0">EXP(B3)</f>
        <v>8103.0839275753842</v>
      </c>
    </row>
    <row r="4" spans="1:3">
      <c r="A4" s="2" t="s">
        <v>4092</v>
      </c>
      <c r="B4" s="2">
        <v>-6.4</v>
      </c>
      <c r="C4" s="7">
        <f t="shared" si="0"/>
        <v>1.6615572731739339E-3</v>
      </c>
    </row>
    <row r="5" spans="1:3">
      <c r="A5" s="2" t="s">
        <v>4093</v>
      </c>
      <c r="B5" s="2">
        <v>-10</v>
      </c>
      <c r="C5" s="7">
        <f t="shared" si="0"/>
        <v>4.5399929762484854E-5</v>
      </c>
    </row>
    <row r="6" spans="1:3">
      <c r="A6" s="2" t="s">
        <v>4094</v>
      </c>
      <c r="B6" s="114">
        <v>0.2</v>
      </c>
      <c r="C6" s="7">
        <f t="shared" si="0"/>
        <v>1.2214027581601699</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407B-6252-47DE-B9B5-8710F9AD4D74}">
  <sheetPr codeName="Sheet496"/>
  <dimension ref="A1:C8"/>
  <sheetViews>
    <sheetView workbookViewId="0">
      <selection activeCell="D9" sqref="D9"/>
    </sheetView>
  </sheetViews>
  <sheetFormatPr defaultRowHeight="14.4"/>
  <cols>
    <col min="1" max="1" width="42" bestFit="1" customWidth="1"/>
    <col min="2" max="2" width="9.6640625" bestFit="1" customWidth="1"/>
    <col min="3" max="3" width="9.5546875" customWidth="1"/>
  </cols>
  <sheetData>
    <row r="1" spans="1:3" ht="16.8" thickBot="1">
      <c r="A1" s="404" t="s">
        <v>4107</v>
      </c>
      <c r="B1" s="405"/>
      <c r="C1" s="406"/>
    </row>
    <row r="2" spans="1:3" ht="15" thickBot="1">
      <c r="A2" s="155"/>
      <c r="C2" s="156"/>
    </row>
    <row r="3" spans="1:3">
      <c r="A3" s="187" t="s">
        <v>622</v>
      </c>
      <c r="B3" s="247" t="s">
        <v>2887</v>
      </c>
      <c r="C3" s="188" t="s">
        <v>1727</v>
      </c>
    </row>
    <row r="4" spans="1:3">
      <c r="A4" s="157" t="s">
        <v>4096</v>
      </c>
      <c r="B4" s="2" t="s">
        <v>1719</v>
      </c>
      <c r="C4" s="190">
        <v>1000</v>
      </c>
    </row>
    <row r="5" spans="1:3">
      <c r="A5" s="157" t="s">
        <v>4097</v>
      </c>
      <c r="B5" s="2" t="s">
        <v>1720</v>
      </c>
      <c r="C5" s="191">
        <v>0.1</v>
      </c>
    </row>
    <row r="6" spans="1:3" ht="15" thickBot="1">
      <c r="A6" s="174" t="s">
        <v>4095</v>
      </c>
      <c r="B6" s="171" t="s">
        <v>1722</v>
      </c>
      <c r="C6" s="168">
        <v>5</v>
      </c>
    </row>
    <row r="7" spans="1:3" ht="15" thickBot="1">
      <c r="A7" s="184"/>
      <c r="B7" s="14"/>
      <c r="C7" s="209"/>
    </row>
    <row r="8" spans="1:3" ht="15" thickBot="1">
      <c r="A8" s="200" t="s">
        <v>4098</v>
      </c>
      <c r="B8" s="248" t="s">
        <v>758</v>
      </c>
      <c r="C8" s="211">
        <f>C4*EXP(C5*C6)</f>
        <v>1648.7212707001281</v>
      </c>
    </row>
  </sheetData>
  <mergeCells count="1">
    <mergeCell ref="A1:C1"/>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F699-14FC-4DB3-906A-D9F6C9B6951A}">
  <sheetPr codeName="Sheet497"/>
  <dimension ref="A1:B14"/>
  <sheetViews>
    <sheetView workbookViewId="0">
      <selection activeCell="D9" sqref="D9"/>
    </sheetView>
  </sheetViews>
  <sheetFormatPr defaultRowHeight="14.4"/>
  <cols>
    <col min="1" max="1" width="13.33203125" bestFit="1" customWidth="1"/>
    <col min="2" max="2" width="11.88671875" bestFit="1" customWidth="1"/>
  </cols>
  <sheetData>
    <row r="1" spans="1:2" ht="16.2">
      <c r="A1" s="1" t="s">
        <v>1385</v>
      </c>
      <c r="B1" s="2" t="s">
        <v>4099</v>
      </c>
    </row>
    <row r="2" spans="1:2">
      <c r="A2" s="1" t="s">
        <v>1185</v>
      </c>
      <c r="B2" s="2">
        <v>0.02</v>
      </c>
    </row>
    <row r="4" spans="1:2">
      <c r="A4" s="1" t="s">
        <v>3216</v>
      </c>
      <c r="B4" s="1" t="s">
        <v>657</v>
      </c>
    </row>
    <row r="5" spans="1:2">
      <c r="A5" s="2">
        <v>0.2</v>
      </c>
      <c r="B5" s="7">
        <f>$B$2*EXP(-2*A5)</f>
        <v>1.3406400920712786E-2</v>
      </c>
    </row>
    <row r="6" spans="1:2">
      <c r="A6" s="2">
        <v>0.4</v>
      </c>
      <c r="B6" s="7">
        <f t="shared" ref="B6:B14" si="0">$B$2*EXP(-2*A6)</f>
        <v>8.9865792823444323E-3</v>
      </c>
    </row>
    <row r="7" spans="1:2">
      <c r="A7" s="2">
        <v>0.6</v>
      </c>
      <c r="B7" s="7">
        <f t="shared" si="0"/>
        <v>6.0238842382440427E-3</v>
      </c>
    </row>
    <row r="8" spans="1:2">
      <c r="A8" s="2">
        <v>0.8</v>
      </c>
      <c r="B8" s="7">
        <f t="shared" si="0"/>
        <v>4.0379303598931078E-3</v>
      </c>
    </row>
    <row r="9" spans="1:2">
      <c r="A9" s="2">
        <v>1</v>
      </c>
      <c r="B9" s="7">
        <f t="shared" si="0"/>
        <v>2.7067056647322543E-3</v>
      </c>
    </row>
    <row r="10" spans="1:2">
      <c r="A10" s="2">
        <v>1.2</v>
      </c>
      <c r="B10" s="7">
        <f t="shared" si="0"/>
        <v>1.8143590657882503E-3</v>
      </c>
    </row>
    <row r="11" spans="1:2">
      <c r="A11" s="2">
        <v>1.4</v>
      </c>
      <c r="B11" s="7">
        <f t="shared" si="0"/>
        <v>1.2162012525043595E-3</v>
      </c>
    </row>
    <row r="12" spans="1:2">
      <c r="A12" s="2">
        <v>1.6</v>
      </c>
      <c r="B12" s="7">
        <f t="shared" si="0"/>
        <v>8.1524407956732421E-4</v>
      </c>
    </row>
    <row r="13" spans="1:2">
      <c r="A13" s="2">
        <v>1.8</v>
      </c>
      <c r="B13" s="7">
        <f t="shared" si="0"/>
        <v>5.4647444894585122E-4</v>
      </c>
    </row>
    <row r="14" spans="1:2">
      <c r="A14" s="2">
        <v>2</v>
      </c>
      <c r="B14" s="7">
        <f t="shared" si="0"/>
        <v>3.6631277777468356E-4</v>
      </c>
    </row>
  </sheetData>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B005-4E7A-48A0-9670-39820819EC90}">
  <sheetPr codeName="Sheet498"/>
  <dimension ref="A1:C6"/>
  <sheetViews>
    <sheetView workbookViewId="0">
      <selection activeCell="D9" sqref="D9"/>
    </sheetView>
  </sheetViews>
  <sheetFormatPr defaultRowHeight="14.4"/>
  <cols>
    <col min="1" max="1" width="7.5546875" bestFit="1" customWidth="1"/>
    <col min="2" max="2" width="22.44140625" bestFit="1" customWidth="1"/>
    <col min="3" max="3" width="24.109375" bestFit="1" customWidth="1"/>
  </cols>
  <sheetData>
    <row r="1" spans="1:3">
      <c r="A1" s="1" t="s">
        <v>153</v>
      </c>
      <c r="B1" s="1" t="s">
        <v>4101</v>
      </c>
      <c r="C1" s="1" t="s">
        <v>4100</v>
      </c>
    </row>
    <row r="2" spans="1:3">
      <c r="A2" s="2">
        <v>20</v>
      </c>
      <c r="B2" s="2">
        <f>EXP(A2)</f>
        <v>485165195.40979028</v>
      </c>
      <c r="C2" s="7">
        <f>ROUND(EXP(A2),0)</f>
        <v>485165195</v>
      </c>
    </row>
    <row r="3" spans="1:3">
      <c r="A3" s="2">
        <v>-3</v>
      </c>
      <c r="B3" s="2">
        <f t="shared" ref="B3:B6" si="0">EXP(A3)</f>
        <v>4.9787068367863944E-2</v>
      </c>
      <c r="C3" s="7">
        <f t="shared" ref="C3:C6" si="1">ROUND(EXP(A3),0)</f>
        <v>0</v>
      </c>
    </row>
    <row r="4" spans="1:3">
      <c r="A4" s="2">
        <v>2</v>
      </c>
      <c r="B4" s="2">
        <f t="shared" si="0"/>
        <v>7.3890560989306504</v>
      </c>
      <c r="C4" s="7">
        <f t="shared" si="1"/>
        <v>7</v>
      </c>
    </row>
    <row r="5" spans="1:3">
      <c r="A5" s="2">
        <v>5.5</v>
      </c>
      <c r="B5" s="2">
        <f t="shared" si="0"/>
        <v>244.69193226422038</v>
      </c>
      <c r="C5" s="7">
        <f t="shared" si="1"/>
        <v>245</v>
      </c>
    </row>
    <row r="6" spans="1:3">
      <c r="A6" s="114">
        <v>0.14285714285714285</v>
      </c>
      <c r="B6" s="2">
        <f t="shared" si="0"/>
        <v>1.1535649948951077</v>
      </c>
      <c r="C6" s="7">
        <f t="shared" si="1"/>
        <v>1</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B2DB-7CCD-4F88-ABC4-F6FD5B74FC0D}">
  <sheetPr codeName="Sheet499"/>
  <dimension ref="A1:B5"/>
  <sheetViews>
    <sheetView workbookViewId="0">
      <selection activeCell="D9" sqref="D9"/>
    </sheetView>
  </sheetViews>
  <sheetFormatPr defaultRowHeight="14.4"/>
  <cols>
    <col min="1" max="1" width="10.88671875" bestFit="1" customWidth="1"/>
    <col min="2" max="2" width="11.88671875" bestFit="1" customWidth="1"/>
    <col min="8" max="8" width="11.88671875" bestFit="1" customWidth="1"/>
  </cols>
  <sheetData>
    <row r="1" spans="1:2">
      <c r="A1" s="1" t="s">
        <v>153</v>
      </c>
      <c r="B1" s="1" t="s">
        <v>4102</v>
      </c>
    </row>
    <row r="2" spans="1:2">
      <c r="A2" s="2">
        <v>7</v>
      </c>
      <c r="B2" s="7">
        <v>1096.6331584284585</v>
      </c>
    </row>
    <row r="3" spans="1:2">
      <c r="A3" s="2">
        <v>8.5</v>
      </c>
      <c r="B3" s="7">
        <v>4914.7688402991344</v>
      </c>
    </row>
    <row r="4" spans="1:2">
      <c r="A4" s="2">
        <v>-9.1999999999999993</v>
      </c>
      <c r="B4" s="7">
        <v>1.0103940183709342E-4</v>
      </c>
    </row>
    <row r="5" spans="1:2">
      <c r="A5" s="139">
        <v>4.5600000000000003E-4</v>
      </c>
      <c r="B5" s="7">
        <v>1.0004561039838049</v>
      </c>
    </row>
  </sheetData>
  <pageMargins left="0.7" right="0.7" top="0.75" bottom="0.75" header="0.3" footer="0.3"/>
  <pageSetup orientation="portrait" horizontalDpi="4294967293" verticalDpi="0"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E32-046F-4026-90CE-121F88E4D3CF}">
  <sheetPr codeName="Sheet500"/>
  <dimension ref="A1:C4"/>
  <sheetViews>
    <sheetView workbookViewId="0"/>
  </sheetViews>
  <sheetFormatPr defaultRowHeight="14.4"/>
  <cols>
    <col min="2" max="2" width="15.5546875" bestFit="1" customWidth="1"/>
    <col min="3" max="3" width="27.88671875" bestFit="1" customWidth="1"/>
  </cols>
  <sheetData>
    <row r="1" spans="1:3">
      <c r="A1" s="1" t="s">
        <v>153</v>
      </c>
      <c r="B1" s="1" t="s">
        <v>4103</v>
      </c>
      <c r="C1" s="1" t="s">
        <v>1145</v>
      </c>
    </row>
    <row r="2" spans="1:3">
      <c r="A2" s="2">
        <v>6.6</v>
      </c>
      <c r="B2" s="7">
        <f>LN(EXP(A2))</f>
        <v>6.6</v>
      </c>
      <c r="C2" s="55" t="s">
        <v>4104</v>
      </c>
    </row>
    <row r="3" spans="1:3">
      <c r="A3" s="2">
        <v>-4.9000000000000004</v>
      </c>
      <c r="B3" s="7">
        <f t="shared" ref="B3:B4" si="0">LN(EXP(A3))</f>
        <v>-4.9000000000000004</v>
      </c>
      <c r="C3" s="55" t="s">
        <v>4105</v>
      </c>
    </row>
    <row r="4" spans="1:3">
      <c r="A4" s="139">
        <v>345</v>
      </c>
      <c r="B4" s="142">
        <f t="shared" si="0"/>
        <v>345</v>
      </c>
      <c r="C4" s="55" t="s">
        <v>4106</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4AC9-1D08-4D5A-9BEF-CF8CBF48A0B2}">
  <sheetPr codeName="Sheet501"/>
  <dimension ref="A1:K10"/>
  <sheetViews>
    <sheetView workbookViewId="0">
      <selection activeCell="K4" sqref="K4"/>
    </sheetView>
  </sheetViews>
  <sheetFormatPr defaultRowHeight="14.4"/>
  <cols>
    <col min="1" max="1" width="11.33203125" bestFit="1" customWidth="1"/>
    <col min="2" max="2" width="10.109375" bestFit="1" customWidth="1"/>
    <col min="3" max="3" width="14.88671875" bestFit="1" customWidth="1"/>
    <col min="4" max="4" width="12.6640625" bestFit="1" customWidth="1"/>
    <col min="6" max="6" width="14.88671875" bestFit="1" customWidth="1"/>
    <col min="9" max="9" width="17.33203125" bestFit="1" customWidth="1"/>
    <col min="11" max="11" width="24" bestFit="1" customWidth="1"/>
  </cols>
  <sheetData>
    <row r="1" spans="1:11">
      <c r="A1" s="410" t="s">
        <v>4108</v>
      </c>
      <c r="B1" s="411"/>
      <c r="C1" s="411"/>
      <c r="D1" s="412"/>
      <c r="F1" s="250" t="s">
        <v>4112</v>
      </c>
      <c r="H1" s="410" t="s">
        <v>4111</v>
      </c>
      <c r="I1" s="412"/>
      <c r="K1" s="250" t="s">
        <v>4113</v>
      </c>
    </row>
    <row r="2" spans="1:11">
      <c r="A2" s="155"/>
      <c r="D2" s="156"/>
      <c r="F2" s="251"/>
      <c r="H2" s="155"/>
      <c r="I2" s="156"/>
      <c r="K2" s="251"/>
    </row>
    <row r="3" spans="1:11">
      <c r="A3" s="180" t="s">
        <v>354</v>
      </c>
      <c r="B3" s="1" t="s">
        <v>1</v>
      </c>
      <c r="C3" s="1" t="s">
        <v>4109</v>
      </c>
      <c r="D3" s="181" t="s">
        <v>4110</v>
      </c>
      <c r="F3" s="451" t="s">
        <v>4109</v>
      </c>
      <c r="H3" s="180" t="s">
        <v>354</v>
      </c>
      <c r="I3" s="181" t="s">
        <v>1</v>
      </c>
      <c r="K3" s="189" t="s">
        <v>4114</v>
      </c>
    </row>
    <row r="4" spans="1:11" ht="15" thickBot="1">
      <c r="A4" s="157" t="s">
        <v>340</v>
      </c>
      <c r="B4" s="2">
        <v>1</v>
      </c>
      <c r="C4" s="2">
        <v>20</v>
      </c>
      <c r="D4" s="190">
        <v>1000</v>
      </c>
      <c r="F4" s="452"/>
      <c r="H4" s="174" t="s">
        <v>340</v>
      </c>
      <c r="I4" s="168">
        <v>1</v>
      </c>
      <c r="K4" s="252">
        <f>DMAX(A3:D10,"Quantity (Boxes)",H3:I4)</f>
        <v>35</v>
      </c>
    </row>
    <row r="5" spans="1:11">
      <c r="A5" s="157" t="s">
        <v>342</v>
      </c>
      <c r="B5" s="2">
        <v>1</v>
      </c>
      <c r="C5" s="2">
        <v>30</v>
      </c>
      <c r="D5" s="190">
        <v>1500</v>
      </c>
    </row>
    <row r="6" spans="1:11">
      <c r="A6" s="157" t="s">
        <v>340</v>
      </c>
      <c r="B6" s="2">
        <v>1</v>
      </c>
      <c r="C6" s="2">
        <v>35</v>
      </c>
      <c r="D6" s="190">
        <v>1750</v>
      </c>
    </row>
    <row r="7" spans="1:11">
      <c r="A7" s="157" t="s">
        <v>346</v>
      </c>
      <c r="B7" s="2">
        <v>2</v>
      </c>
      <c r="C7" s="2">
        <v>10</v>
      </c>
      <c r="D7" s="190">
        <v>250</v>
      </c>
    </row>
    <row r="8" spans="1:11">
      <c r="A8" s="157" t="s">
        <v>342</v>
      </c>
      <c r="B8" s="2">
        <v>2</v>
      </c>
      <c r="C8" s="2">
        <v>25</v>
      </c>
      <c r="D8" s="190">
        <v>625</v>
      </c>
    </row>
    <row r="9" spans="1:11">
      <c r="A9" s="157" t="s">
        <v>345</v>
      </c>
      <c r="B9" s="2">
        <v>1</v>
      </c>
      <c r="C9" s="2">
        <v>30</v>
      </c>
      <c r="D9" s="190">
        <v>1500</v>
      </c>
    </row>
    <row r="10" spans="1:11" ht="15" thickBot="1">
      <c r="A10" s="174" t="s">
        <v>340</v>
      </c>
      <c r="B10" s="171">
        <v>2</v>
      </c>
      <c r="C10" s="171">
        <v>35</v>
      </c>
      <c r="D10" s="249">
        <v>875</v>
      </c>
    </row>
  </sheetData>
  <mergeCells count="3">
    <mergeCell ref="A1:D1"/>
    <mergeCell ref="H1:I1"/>
    <mergeCell ref="F3:F4"/>
  </mergeCells>
  <pageMargins left="0.7" right="0.7" top="0.75" bottom="0.75" header="0.3" footer="0.3"/>
  <pageSetup orientation="portrait" horizontalDpi="4294967293" verticalDpi="0"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FBA70-B666-4463-8A04-BEFA77B45302}">
  <sheetPr codeName="Sheet502"/>
  <dimension ref="A1:M15"/>
  <sheetViews>
    <sheetView workbookViewId="0">
      <selection activeCell="K4" sqref="K4"/>
    </sheetView>
  </sheetViews>
  <sheetFormatPr defaultRowHeight="14.4"/>
  <cols>
    <col min="1" max="1" width="14.109375" bestFit="1" customWidth="1"/>
    <col min="2" max="2" width="7" bestFit="1" customWidth="1"/>
    <col min="3" max="3" width="10.5546875" customWidth="1"/>
    <col min="4" max="5" width="14.109375" bestFit="1" customWidth="1"/>
    <col min="7" max="7" width="14.88671875" bestFit="1" customWidth="1"/>
    <col min="9" max="9" width="7" bestFit="1" customWidth="1"/>
    <col min="10" max="10" width="10.109375" bestFit="1" customWidth="1"/>
    <col min="11" max="11" width="14.109375" bestFit="1" customWidth="1"/>
    <col min="13" max="13" width="19.5546875" bestFit="1" customWidth="1"/>
  </cols>
  <sheetData>
    <row r="1" spans="1:13">
      <c r="A1" s="410" t="s">
        <v>4108</v>
      </c>
      <c r="B1" s="411"/>
      <c r="C1" s="411"/>
      <c r="D1" s="453"/>
      <c r="E1" s="412"/>
      <c r="G1" s="250" t="s">
        <v>4112</v>
      </c>
      <c r="I1" s="410" t="s">
        <v>4111</v>
      </c>
      <c r="J1" s="445"/>
      <c r="K1" s="412"/>
      <c r="M1" s="250" t="s">
        <v>4113</v>
      </c>
    </row>
    <row r="2" spans="1:13">
      <c r="A2" s="155"/>
      <c r="E2" s="156"/>
      <c r="G2" s="251"/>
      <c r="I2" s="155"/>
      <c r="K2" s="156"/>
      <c r="M2" s="251"/>
    </row>
    <row r="3" spans="1:13">
      <c r="A3" s="180" t="s">
        <v>832</v>
      </c>
      <c r="B3" s="1" t="s">
        <v>4115</v>
      </c>
      <c r="C3" s="1" t="s">
        <v>4116</v>
      </c>
      <c r="D3" s="1" t="s">
        <v>4117</v>
      </c>
      <c r="E3" s="181" t="s">
        <v>4132</v>
      </c>
      <c r="G3" s="451" t="s">
        <v>4132</v>
      </c>
      <c r="I3" s="180" t="s">
        <v>4115</v>
      </c>
      <c r="J3" s="1" t="s">
        <v>4116</v>
      </c>
      <c r="K3" s="181" t="s">
        <v>4117</v>
      </c>
      <c r="M3" s="189" t="s">
        <v>4133</v>
      </c>
    </row>
    <row r="4" spans="1:13" ht="15" thickBot="1">
      <c r="A4" s="165" t="s">
        <v>4118</v>
      </c>
      <c r="B4" s="2" t="s">
        <v>4130</v>
      </c>
      <c r="C4" s="2">
        <v>10</v>
      </c>
      <c r="D4" s="2">
        <v>53</v>
      </c>
      <c r="E4" s="159">
        <v>138</v>
      </c>
      <c r="G4" s="452"/>
      <c r="I4" s="174" t="s">
        <v>4130</v>
      </c>
      <c r="J4" s="168">
        <v>11</v>
      </c>
      <c r="K4" s="168" t="s">
        <v>4134</v>
      </c>
      <c r="M4" s="252">
        <f>DMAX(A3:E15,"Height (cm)",I3:K4)</f>
        <v>145</v>
      </c>
    </row>
    <row r="5" spans="1:13">
      <c r="A5" s="165" t="s">
        <v>4119</v>
      </c>
      <c r="B5" s="2" t="s">
        <v>4131</v>
      </c>
      <c r="C5" s="2">
        <v>12</v>
      </c>
      <c r="D5" s="2">
        <v>88</v>
      </c>
      <c r="E5" s="159">
        <v>149</v>
      </c>
    </row>
    <row r="6" spans="1:13">
      <c r="A6" s="165" t="s">
        <v>4120</v>
      </c>
      <c r="B6" s="2" t="s">
        <v>4131</v>
      </c>
      <c r="C6" s="2">
        <v>13</v>
      </c>
      <c r="D6" s="2">
        <v>130</v>
      </c>
      <c r="E6" s="159">
        <v>156</v>
      </c>
    </row>
    <row r="7" spans="1:13">
      <c r="A7" s="165" t="s">
        <v>4121</v>
      </c>
      <c r="B7" s="2" t="s">
        <v>4130</v>
      </c>
      <c r="C7" s="2">
        <v>11</v>
      </c>
      <c r="D7" s="2">
        <v>81</v>
      </c>
      <c r="E7" s="159">
        <v>140</v>
      </c>
    </row>
    <row r="8" spans="1:13">
      <c r="A8" s="165" t="s">
        <v>4122</v>
      </c>
      <c r="B8" s="2" t="s">
        <v>4131</v>
      </c>
      <c r="C8" s="2">
        <v>13</v>
      </c>
      <c r="D8" s="2">
        <v>125</v>
      </c>
      <c r="E8" s="159">
        <v>155</v>
      </c>
    </row>
    <row r="9" spans="1:13">
      <c r="A9" s="165" t="s">
        <v>4123</v>
      </c>
      <c r="B9" s="2" t="s">
        <v>4130</v>
      </c>
      <c r="C9" s="2">
        <v>11</v>
      </c>
      <c r="D9" s="2">
        <v>100</v>
      </c>
      <c r="E9" s="159">
        <v>145</v>
      </c>
    </row>
    <row r="10" spans="1:13">
      <c r="A10" s="165" t="s">
        <v>4124</v>
      </c>
      <c r="B10" s="2" t="s">
        <v>4130</v>
      </c>
      <c r="C10" s="2">
        <v>10</v>
      </c>
      <c r="D10" s="2">
        <v>70.5</v>
      </c>
      <c r="E10" s="159">
        <v>145</v>
      </c>
    </row>
    <row r="11" spans="1:13">
      <c r="A11" s="165" t="s">
        <v>4125</v>
      </c>
      <c r="B11" s="2" t="s">
        <v>4130</v>
      </c>
      <c r="C11" s="2">
        <v>12</v>
      </c>
      <c r="D11" s="2">
        <v>112</v>
      </c>
      <c r="E11" s="159">
        <v>150</v>
      </c>
    </row>
    <row r="12" spans="1:13">
      <c r="A12" s="165" t="s">
        <v>4126</v>
      </c>
      <c r="B12" s="2" t="s">
        <v>4130</v>
      </c>
      <c r="C12" s="2">
        <v>13</v>
      </c>
      <c r="D12" s="2">
        <v>120</v>
      </c>
      <c r="E12" s="159">
        <v>152</v>
      </c>
    </row>
    <row r="13" spans="1:13">
      <c r="A13" s="165" t="s">
        <v>4127</v>
      </c>
      <c r="B13" s="2" t="s">
        <v>4130</v>
      </c>
      <c r="C13" s="2">
        <v>11</v>
      </c>
      <c r="D13" s="2">
        <v>75</v>
      </c>
      <c r="E13" s="159">
        <v>135</v>
      </c>
    </row>
    <row r="14" spans="1:13">
      <c r="A14" s="165" t="s">
        <v>4128</v>
      </c>
      <c r="B14" s="2" t="s">
        <v>4130</v>
      </c>
      <c r="C14" s="2">
        <v>12</v>
      </c>
      <c r="D14" s="2">
        <v>90</v>
      </c>
      <c r="E14" s="159">
        <v>148</v>
      </c>
    </row>
    <row r="15" spans="1:13" ht="15" thickBot="1">
      <c r="A15" s="166" t="s">
        <v>4129</v>
      </c>
      <c r="B15" s="171" t="s">
        <v>4131</v>
      </c>
      <c r="C15" s="171">
        <v>12</v>
      </c>
      <c r="D15" s="171">
        <v>90</v>
      </c>
      <c r="E15" s="168">
        <v>151</v>
      </c>
    </row>
  </sheetData>
  <mergeCells count="3">
    <mergeCell ref="A1:E1"/>
    <mergeCell ref="I1:K1"/>
    <mergeCell ref="G3:G4"/>
  </mergeCells>
  <pageMargins left="0.7" right="0.7" top="0.75" bottom="0.75" header="0.3" footer="0.3"/>
  <pageSetup orientation="portrait" horizontalDpi="4294967293" verticalDpi="0"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9364-48E2-4A54-9E67-B93F8541474C}">
  <sheetPr codeName="Sheet503"/>
  <dimension ref="A1:K18"/>
  <sheetViews>
    <sheetView workbookViewId="0">
      <selection activeCell="K4" sqref="K4"/>
    </sheetView>
  </sheetViews>
  <sheetFormatPr defaultRowHeight="14.4"/>
  <cols>
    <col min="1" max="1" width="18.109375" bestFit="1" customWidth="1"/>
    <col min="2" max="2" width="8.88671875" bestFit="1" customWidth="1"/>
    <col min="3" max="3" width="14.109375" customWidth="1"/>
    <col min="4" max="4" width="10.44140625" customWidth="1"/>
    <col min="5" max="5" width="12.88671875" customWidth="1"/>
    <col min="7" max="7" width="10.33203125" customWidth="1"/>
    <col min="8" max="8" width="30.44140625" bestFit="1" customWidth="1"/>
    <col min="9" max="9" width="5.88671875" bestFit="1" customWidth="1"/>
    <col min="10" max="10" width="15.109375" customWidth="1"/>
    <col min="11" max="11" width="10.88671875" customWidth="1"/>
    <col min="12" max="12" width="8.6640625" customWidth="1"/>
  </cols>
  <sheetData>
    <row r="1" spans="1:11">
      <c r="A1" s="410" t="s">
        <v>4148</v>
      </c>
      <c r="B1" s="411"/>
      <c r="C1" s="411"/>
      <c r="D1" s="411"/>
      <c r="E1" s="412"/>
      <c r="G1" s="250" t="s">
        <v>4112</v>
      </c>
      <c r="I1" s="410" t="s">
        <v>4111</v>
      </c>
      <c r="J1" s="411"/>
      <c r="K1" s="412"/>
    </row>
    <row r="2" spans="1:11">
      <c r="A2" s="155"/>
      <c r="E2" s="156"/>
      <c r="G2" s="251"/>
      <c r="I2" s="155"/>
      <c r="K2" s="156"/>
    </row>
    <row r="3" spans="1:11" ht="30" customHeight="1">
      <c r="A3" s="257" t="s">
        <v>3472</v>
      </c>
      <c r="B3" s="8" t="s">
        <v>3486</v>
      </c>
      <c r="C3" s="258" t="s">
        <v>4143</v>
      </c>
      <c r="D3" s="259" t="s">
        <v>4142</v>
      </c>
      <c r="E3" s="259" t="s">
        <v>4144</v>
      </c>
      <c r="G3" s="454" t="s">
        <v>4144</v>
      </c>
      <c r="I3" s="257" t="s">
        <v>3486</v>
      </c>
      <c r="J3" s="258" t="s">
        <v>4143</v>
      </c>
      <c r="K3" s="259" t="s">
        <v>4142</v>
      </c>
    </row>
    <row r="4" spans="1:11" ht="15" thickBot="1">
      <c r="A4" s="157" t="s">
        <v>4135</v>
      </c>
      <c r="B4" s="2" t="s">
        <v>340</v>
      </c>
      <c r="C4" s="2">
        <v>15</v>
      </c>
      <c r="D4" s="253">
        <v>1999</v>
      </c>
      <c r="E4" s="253">
        <v>29985</v>
      </c>
      <c r="G4" s="455"/>
      <c r="I4" s="174" t="s">
        <v>4141</v>
      </c>
      <c r="J4" s="171" t="s">
        <v>4145</v>
      </c>
      <c r="K4" s="168" t="s">
        <v>4146</v>
      </c>
    </row>
    <row r="5" spans="1:11">
      <c r="A5" s="157" t="s">
        <v>3534</v>
      </c>
      <c r="B5" s="2" t="s">
        <v>4141</v>
      </c>
      <c r="C5" s="2">
        <v>20</v>
      </c>
      <c r="D5" s="253">
        <v>999</v>
      </c>
      <c r="E5" s="253">
        <v>19980</v>
      </c>
    </row>
    <row r="6" spans="1:11" ht="15" thickBot="1">
      <c r="A6" s="157" t="s">
        <v>4136</v>
      </c>
      <c r="B6" s="2" t="s">
        <v>1029</v>
      </c>
      <c r="C6" s="2">
        <v>22</v>
      </c>
      <c r="D6" s="253">
        <v>649</v>
      </c>
      <c r="E6" s="253">
        <v>14278</v>
      </c>
    </row>
    <row r="7" spans="1:11">
      <c r="A7" s="157" t="s">
        <v>4135</v>
      </c>
      <c r="B7" s="2" t="s">
        <v>340</v>
      </c>
      <c r="C7" s="2">
        <v>25</v>
      </c>
      <c r="D7" s="253">
        <v>1999</v>
      </c>
      <c r="E7" s="253">
        <v>49975</v>
      </c>
      <c r="H7" s="250" t="s">
        <v>4113</v>
      </c>
    </row>
    <row r="8" spans="1:11">
      <c r="A8" s="157" t="s">
        <v>4137</v>
      </c>
      <c r="B8" s="2" t="s">
        <v>4141</v>
      </c>
      <c r="C8" s="2">
        <v>10</v>
      </c>
      <c r="D8" s="253">
        <v>1449.99</v>
      </c>
      <c r="E8" s="253">
        <v>14499.9</v>
      </c>
      <c r="H8" s="251"/>
    </row>
    <row r="9" spans="1:11">
      <c r="A9" s="157" t="s">
        <v>4136</v>
      </c>
      <c r="B9" s="2" t="s">
        <v>1029</v>
      </c>
      <c r="C9" s="2">
        <v>11</v>
      </c>
      <c r="D9" s="253">
        <v>649</v>
      </c>
      <c r="E9" s="253">
        <v>7139</v>
      </c>
      <c r="H9" s="189" t="s">
        <v>4147</v>
      </c>
    </row>
    <row r="10" spans="1:11" ht="15" thickBot="1">
      <c r="A10" s="157" t="s">
        <v>3534</v>
      </c>
      <c r="B10" s="2" t="s">
        <v>4141</v>
      </c>
      <c r="C10" s="2">
        <v>13</v>
      </c>
      <c r="D10" s="253">
        <v>999</v>
      </c>
      <c r="E10" s="253">
        <v>12987</v>
      </c>
      <c r="H10" s="260">
        <f>DMAX(Laptop_Order_Data,"Total Order Cost in USD",I3:K4)</f>
        <v>23199.84</v>
      </c>
    </row>
    <row r="11" spans="1:11">
      <c r="A11" s="157" t="s">
        <v>4138</v>
      </c>
      <c r="B11" s="2" t="s">
        <v>3490</v>
      </c>
      <c r="C11" s="2">
        <v>21</v>
      </c>
      <c r="D11" s="253">
        <v>699.99</v>
      </c>
      <c r="E11" s="253">
        <v>14699.79</v>
      </c>
    </row>
    <row r="12" spans="1:11">
      <c r="A12" s="157" t="s">
        <v>4137</v>
      </c>
      <c r="B12" s="2" t="s">
        <v>4141</v>
      </c>
      <c r="C12" s="255">
        <v>15</v>
      </c>
      <c r="D12" s="256">
        <v>1449.99</v>
      </c>
      <c r="E12" s="256">
        <v>21749.85</v>
      </c>
    </row>
    <row r="13" spans="1:11">
      <c r="A13" s="157" t="s">
        <v>437</v>
      </c>
      <c r="B13" s="2" t="s">
        <v>3490</v>
      </c>
      <c r="C13" s="255">
        <v>25</v>
      </c>
      <c r="D13" s="256">
        <v>899.99</v>
      </c>
      <c r="E13" s="256">
        <v>22499.75</v>
      </c>
    </row>
    <row r="14" spans="1:11">
      <c r="A14" s="157" t="s">
        <v>4139</v>
      </c>
      <c r="B14" s="2" t="s">
        <v>2790</v>
      </c>
      <c r="C14" s="255">
        <v>30</v>
      </c>
      <c r="D14" s="256">
        <v>629.99</v>
      </c>
      <c r="E14" s="256">
        <v>18899.7</v>
      </c>
    </row>
    <row r="15" spans="1:11">
      <c r="A15" s="157" t="s">
        <v>3534</v>
      </c>
      <c r="B15" s="2" t="s">
        <v>4141</v>
      </c>
      <c r="C15" s="255">
        <v>14</v>
      </c>
      <c r="D15" s="256">
        <v>999</v>
      </c>
      <c r="E15" s="256">
        <v>13986</v>
      </c>
    </row>
    <row r="16" spans="1:11">
      <c r="A16" s="157" t="s">
        <v>4137</v>
      </c>
      <c r="B16" s="2" t="s">
        <v>4141</v>
      </c>
      <c r="C16" s="255">
        <v>16</v>
      </c>
      <c r="D16" s="256">
        <v>1449.99</v>
      </c>
      <c r="E16" s="256">
        <v>23199.84</v>
      </c>
    </row>
    <row r="17" spans="1:5">
      <c r="A17" s="157" t="s">
        <v>4140</v>
      </c>
      <c r="B17" s="2" t="s">
        <v>3487</v>
      </c>
      <c r="C17" s="2">
        <v>18</v>
      </c>
      <c r="D17" s="253">
        <v>1299.99</v>
      </c>
      <c r="E17" s="253">
        <v>23399.82</v>
      </c>
    </row>
    <row r="18" spans="1:5" ht="15" thickBot="1">
      <c r="A18" s="174" t="s">
        <v>4138</v>
      </c>
      <c r="B18" s="171" t="s">
        <v>3490</v>
      </c>
      <c r="C18" s="171">
        <v>20</v>
      </c>
      <c r="D18" s="254">
        <v>699.99</v>
      </c>
      <c r="E18" s="254">
        <v>13999.8</v>
      </c>
    </row>
  </sheetData>
  <mergeCells count="3">
    <mergeCell ref="A1:E1"/>
    <mergeCell ref="G3:G4"/>
    <mergeCell ref="I1:K1"/>
  </mergeCells>
  <pageMargins left="0.7" right="0.7" top="0.75" bottom="0.75" header="0.3" footer="0.3"/>
  <pageSetup orientation="portrait" horizontalDpi="4294967293" verticalDpi="0"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791F-DA4D-4C0B-901C-5576A7E46690}">
  <sheetPr codeName="Sheet504"/>
  <dimension ref="A1:J11"/>
  <sheetViews>
    <sheetView workbookViewId="0">
      <selection activeCell="K4" sqref="K4"/>
    </sheetView>
  </sheetViews>
  <sheetFormatPr defaultRowHeight="14.4"/>
  <cols>
    <col min="1" max="1" width="20.5546875" bestFit="1" customWidth="1"/>
    <col min="2" max="2" width="9.33203125" bestFit="1" customWidth="1"/>
    <col min="3" max="3" width="13.44140625" bestFit="1" customWidth="1"/>
    <col min="5" max="5" width="14.88671875" bestFit="1" customWidth="1"/>
    <col min="7" max="7" width="11.109375" bestFit="1" customWidth="1"/>
    <col min="8" max="8" width="9.33203125" bestFit="1" customWidth="1"/>
    <col min="10" max="10" width="24" bestFit="1" customWidth="1"/>
  </cols>
  <sheetData>
    <row r="1" spans="1:10">
      <c r="A1" s="410" t="s">
        <v>4108</v>
      </c>
      <c r="B1" s="411"/>
      <c r="C1" s="412"/>
      <c r="E1" s="250" t="s">
        <v>4112</v>
      </c>
      <c r="G1" s="410" t="s">
        <v>4111</v>
      </c>
      <c r="H1" s="412"/>
      <c r="J1" s="250" t="s">
        <v>4113</v>
      </c>
    </row>
    <row r="2" spans="1:10">
      <c r="A2" s="155"/>
      <c r="C2" s="156"/>
      <c r="E2" s="251"/>
      <c r="G2" s="155"/>
      <c r="H2" s="156"/>
      <c r="J2" s="251"/>
    </row>
    <row r="3" spans="1:10">
      <c r="A3" s="180" t="s">
        <v>75</v>
      </c>
      <c r="B3" s="1" t="s">
        <v>4149</v>
      </c>
      <c r="C3" s="181" t="s">
        <v>4150</v>
      </c>
      <c r="E3" s="451" t="s">
        <v>4150</v>
      </c>
      <c r="G3" s="180" t="s">
        <v>75</v>
      </c>
      <c r="H3" s="1" t="s">
        <v>4149</v>
      </c>
      <c r="J3" s="189" t="s">
        <v>4156</v>
      </c>
    </row>
    <row r="4" spans="1:10" ht="15" thickBot="1">
      <c r="A4" s="157" t="s">
        <v>1978</v>
      </c>
      <c r="B4" s="82">
        <v>0.81</v>
      </c>
      <c r="C4" s="191">
        <v>0.52</v>
      </c>
      <c r="E4" s="452"/>
      <c r="G4" s="174" t="s">
        <v>4172</v>
      </c>
      <c r="H4" s="168" t="s">
        <v>4155</v>
      </c>
      <c r="J4" s="264">
        <f>DMAX(A3:C11,"Popularity in %",G3:H4)</f>
        <v>0.48</v>
      </c>
    </row>
    <row r="5" spans="1:10">
      <c r="A5" s="157" t="s">
        <v>3696</v>
      </c>
      <c r="B5" s="82">
        <v>0.82</v>
      </c>
      <c r="C5" s="191">
        <v>0.52</v>
      </c>
    </row>
    <row r="6" spans="1:10">
      <c r="A6" s="157" t="s">
        <v>3113</v>
      </c>
      <c r="B6" s="82">
        <v>0.79</v>
      </c>
      <c r="C6" s="191">
        <v>0.5</v>
      </c>
    </row>
    <row r="7" spans="1:10">
      <c r="A7" s="157" t="s">
        <v>1979</v>
      </c>
      <c r="B7" s="82">
        <v>0.84</v>
      </c>
      <c r="C7" s="191">
        <v>0.48</v>
      </c>
    </row>
    <row r="8" spans="1:10">
      <c r="A8" s="157" t="s">
        <v>4152</v>
      </c>
      <c r="B8" s="82">
        <v>0.74</v>
      </c>
      <c r="C8" s="191">
        <v>0.4</v>
      </c>
    </row>
    <row r="9" spans="1:10">
      <c r="A9" s="157" t="s">
        <v>4151</v>
      </c>
      <c r="B9" s="82">
        <v>0.79</v>
      </c>
      <c r="C9" s="191">
        <v>0.44</v>
      </c>
    </row>
    <row r="10" spans="1:10">
      <c r="A10" s="261" t="s">
        <v>4154</v>
      </c>
      <c r="B10" s="262">
        <v>0.73</v>
      </c>
      <c r="C10" s="263">
        <v>0.36</v>
      </c>
    </row>
    <row r="11" spans="1:10" ht="15" thickBot="1">
      <c r="A11" s="174" t="s">
        <v>4153</v>
      </c>
      <c r="B11" s="204">
        <v>0.81</v>
      </c>
      <c r="C11" s="215">
        <v>0.39</v>
      </c>
    </row>
  </sheetData>
  <mergeCells count="3">
    <mergeCell ref="A1:C1"/>
    <mergeCell ref="G1:H1"/>
    <mergeCell ref="E3:E4"/>
  </mergeCell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5625-6BD0-43AF-BC18-C416A183684F}">
  <sheetPr codeName="Sheet505"/>
  <dimension ref="A1:J13"/>
  <sheetViews>
    <sheetView workbookViewId="0">
      <selection activeCell="K4" sqref="K4"/>
    </sheetView>
  </sheetViews>
  <sheetFormatPr defaultRowHeight="14.4"/>
  <cols>
    <col min="1" max="1" width="12.33203125" bestFit="1" customWidth="1"/>
    <col min="2" max="2" width="11.5546875" bestFit="1" customWidth="1"/>
    <col min="3" max="3" width="10.6640625" customWidth="1"/>
    <col min="5" max="5" width="10" bestFit="1" customWidth="1"/>
    <col min="7" max="7" width="5.5546875" bestFit="1" customWidth="1"/>
    <col min="8" max="8" width="5.88671875" bestFit="1" customWidth="1"/>
    <col min="10" max="10" width="24" bestFit="1" customWidth="1"/>
    <col min="12" max="12" width="12.33203125" bestFit="1" customWidth="1"/>
  </cols>
  <sheetData>
    <row r="1" spans="1:10">
      <c r="A1" s="410" t="s">
        <v>4108</v>
      </c>
      <c r="B1" s="411"/>
      <c r="C1" s="412"/>
      <c r="E1" s="250" t="s">
        <v>4112</v>
      </c>
      <c r="G1" s="410" t="s">
        <v>4111</v>
      </c>
      <c r="H1" s="412"/>
      <c r="J1" s="250" t="s">
        <v>4113</v>
      </c>
    </row>
    <row r="2" spans="1:10">
      <c r="A2" s="266"/>
      <c r="B2" s="55"/>
      <c r="C2" s="267"/>
      <c r="E2" s="251"/>
      <c r="G2" s="155"/>
      <c r="H2" s="156"/>
      <c r="J2" s="251"/>
    </row>
    <row r="3" spans="1:10">
      <c r="A3" s="180" t="s">
        <v>1776</v>
      </c>
      <c r="B3" s="1" t="s">
        <v>352</v>
      </c>
      <c r="C3" s="181" t="s">
        <v>96</v>
      </c>
      <c r="E3" s="451" t="s">
        <v>96</v>
      </c>
      <c r="G3" s="456" t="s">
        <v>4163</v>
      </c>
      <c r="H3" s="457"/>
      <c r="J3" s="189" t="s">
        <v>4162</v>
      </c>
    </row>
    <row r="4" spans="1:10" ht="15" thickBot="1">
      <c r="A4" s="157" t="s">
        <v>3144</v>
      </c>
      <c r="B4" s="2" t="s">
        <v>2014</v>
      </c>
      <c r="C4" s="268">
        <v>2746388</v>
      </c>
      <c r="E4" s="452"/>
      <c r="G4" s="458"/>
      <c r="H4" s="459"/>
      <c r="J4" s="265">
        <f>DMAX(A3:C13,"Population",A3:C13)</f>
        <v>8804190</v>
      </c>
    </row>
    <row r="5" spans="1:10">
      <c r="A5" s="157" t="s">
        <v>1892</v>
      </c>
      <c r="B5" s="2" t="s">
        <v>348</v>
      </c>
      <c r="C5" s="268">
        <v>1304379</v>
      </c>
    </row>
    <row r="6" spans="1:10">
      <c r="A6" s="157" t="s">
        <v>1893</v>
      </c>
      <c r="B6" s="2" t="s">
        <v>348</v>
      </c>
      <c r="C6" s="268">
        <v>2304580</v>
      </c>
    </row>
    <row r="7" spans="1:10">
      <c r="A7" s="157" t="s">
        <v>1895</v>
      </c>
      <c r="B7" s="2" t="s">
        <v>347</v>
      </c>
      <c r="C7" s="268">
        <v>3898747</v>
      </c>
    </row>
    <row r="8" spans="1:10">
      <c r="A8" s="157" t="s">
        <v>4157</v>
      </c>
      <c r="B8" s="2" t="s">
        <v>2011</v>
      </c>
      <c r="C8" s="268">
        <v>8804190</v>
      </c>
    </row>
    <row r="9" spans="1:10">
      <c r="A9" s="157" t="s">
        <v>1897</v>
      </c>
      <c r="B9" s="2" t="s">
        <v>4158</v>
      </c>
      <c r="C9" s="268">
        <v>1603797</v>
      </c>
    </row>
    <row r="10" spans="1:10">
      <c r="A10" s="157" t="s">
        <v>1322</v>
      </c>
      <c r="B10" s="2" t="s">
        <v>1321</v>
      </c>
      <c r="C10" s="268">
        <v>1608139</v>
      </c>
    </row>
    <row r="11" spans="1:10">
      <c r="A11" s="157" t="s">
        <v>4159</v>
      </c>
      <c r="B11" s="2" t="s">
        <v>348</v>
      </c>
      <c r="C11" s="268">
        <v>1434625</v>
      </c>
    </row>
    <row r="12" spans="1:10">
      <c r="A12" s="157" t="s">
        <v>4160</v>
      </c>
      <c r="B12" s="2" t="s">
        <v>347</v>
      </c>
      <c r="C12" s="268">
        <v>1386931</v>
      </c>
    </row>
    <row r="13" spans="1:10" ht="15" thickBot="1">
      <c r="A13" s="174" t="s">
        <v>4161</v>
      </c>
      <c r="B13" s="171" t="s">
        <v>347</v>
      </c>
      <c r="C13" s="269">
        <v>1013240</v>
      </c>
    </row>
  </sheetData>
  <sortState xmlns:xlrd2="http://schemas.microsoft.com/office/spreadsheetml/2017/richdata2" ref="A4:C13">
    <sortCondition ref="A4"/>
  </sortState>
  <mergeCells count="4">
    <mergeCell ref="A1:C1"/>
    <mergeCell ref="G1:H1"/>
    <mergeCell ref="E3:E4"/>
    <mergeCell ref="G3:H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3691-3738-424B-9404-A104C390D9F9}">
  <sheetPr codeName="Sheet506"/>
  <dimension ref="A1:J10"/>
  <sheetViews>
    <sheetView workbookViewId="0">
      <selection activeCell="A3" sqref="A3"/>
    </sheetView>
  </sheetViews>
  <sheetFormatPr defaultRowHeight="14.4"/>
  <cols>
    <col min="1" max="1" width="11.33203125" bestFit="1" customWidth="1"/>
    <col min="2" max="2" width="12.44140625" bestFit="1" customWidth="1"/>
    <col min="3" max="3" width="14.88671875" bestFit="1" customWidth="1"/>
    <col min="4" max="4" width="14.109375" bestFit="1" customWidth="1"/>
    <col min="6" max="6" width="14.88671875" bestFit="1" customWidth="1"/>
    <col min="7" max="7" width="23.109375" bestFit="1" customWidth="1"/>
    <col min="8" max="8" width="12.44140625" bestFit="1" customWidth="1"/>
    <col min="9" max="10" width="12.44140625" customWidth="1"/>
    <col min="12" max="12" width="24" bestFit="1" customWidth="1"/>
  </cols>
  <sheetData>
    <row r="1" spans="1:10">
      <c r="A1" s="410" t="s">
        <v>4108</v>
      </c>
      <c r="B1" s="411"/>
      <c r="C1" s="411"/>
      <c r="D1" s="412"/>
      <c r="F1" s="250" t="s">
        <v>4112</v>
      </c>
      <c r="H1" s="410" t="s">
        <v>4111</v>
      </c>
      <c r="I1" s="445"/>
      <c r="J1" s="412"/>
    </row>
    <row r="2" spans="1:10">
      <c r="A2" s="155"/>
      <c r="D2" s="156"/>
      <c r="F2" s="251"/>
      <c r="H2" s="155"/>
      <c r="J2" s="156"/>
    </row>
    <row r="3" spans="1:10">
      <c r="A3" s="180" t="s">
        <v>2002</v>
      </c>
      <c r="B3" s="1" t="s">
        <v>4165</v>
      </c>
      <c r="C3" s="1" t="s">
        <v>4166</v>
      </c>
      <c r="D3" s="181" t="s">
        <v>4167</v>
      </c>
      <c r="F3" s="451" t="s">
        <v>4167</v>
      </c>
      <c r="H3" s="180" t="s">
        <v>4165</v>
      </c>
      <c r="I3" s="181" t="s">
        <v>4165</v>
      </c>
      <c r="J3" s="181" t="s">
        <v>4166</v>
      </c>
    </row>
    <row r="4" spans="1:10" ht="15" thickBot="1">
      <c r="A4" s="157" t="s">
        <v>2003</v>
      </c>
      <c r="B4" s="20">
        <v>44607</v>
      </c>
      <c r="C4" s="2">
        <v>10</v>
      </c>
      <c r="D4" s="159">
        <v>20</v>
      </c>
      <c r="F4" s="452"/>
      <c r="H4" s="174" t="s">
        <v>4169</v>
      </c>
      <c r="I4" s="271" t="s">
        <v>4168</v>
      </c>
      <c r="J4" s="271" t="s">
        <v>4171</v>
      </c>
    </row>
    <row r="5" spans="1:10">
      <c r="A5" s="157" t="s">
        <v>2004</v>
      </c>
      <c r="B5" s="20">
        <v>44617</v>
      </c>
      <c r="C5" s="2">
        <v>5</v>
      </c>
      <c r="D5" s="159">
        <v>10</v>
      </c>
    </row>
    <row r="6" spans="1:10" ht="15" thickBot="1">
      <c r="A6" s="157" t="s">
        <v>2005</v>
      </c>
      <c r="B6" s="20">
        <v>44621</v>
      </c>
      <c r="C6" s="2">
        <v>20</v>
      </c>
      <c r="D6" s="159">
        <v>5</v>
      </c>
    </row>
    <row r="7" spans="1:10">
      <c r="A7" s="157" t="s">
        <v>2006</v>
      </c>
      <c r="B7" s="20">
        <v>44630</v>
      </c>
      <c r="C7" s="2">
        <v>11</v>
      </c>
      <c r="D7" s="159">
        <v>15</v>
      </c>
      <c r="G7" s="250" t="s">
        <v>4113</v>
      </c>
    </row>
    <row r="8" spans="1:10">
      <c r="A8" s="157" t="s">
        <v>2007</v>
      </c>
      <c r="B8" s="20">
        <v>44640</v>
      </c>
      <c r="C8" s="2">
        <v>25</v>
      </c>
      <c r="D8" s="159">
        <v>30</v>
      </c>
      <c r="G8" s="251"/>
    </row>
    <row r="9" spans="1:10">
      <c r="A9" s="157" t="s">
        <v>2008</v>
      </c>
      <c r="B9" s="20">
        <v>44656</v>
      </c>
      <c r="C9" s="2">
        <v>15</v>
      </c>
      <c r="D9" s="159">
        <v>25</v>
      </c>
      <c r="G9" s="189" t="s">
        <v>4170</v>
      </c>
    </row>
    <row r="10" spans="1:10" ht="15" thickBot="1">
      <c r="A10" s="174" t="s">
        <v>4164</v>
      </c>
      <c r="B10" s="270">
        <v>44671</v>
      </c>
      <c r="C10" s="171">
        <v>3</v>
      </c>
      <c r="D10" s="168">
        <v>2</v>
      </c>
      <c r="G10" s="252">
        <v>15</v>
      </c>
    </row>
  </sheetData>
  <mergeCells count="3">
    <mergeCell ref="A1:D1"/>
    <mergeCell ref="H1:J1"/>
    <mergeCell ref="F3:F4"/>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DA1CD-C65B-4FF8-A312-6675EDDD88D7}">
  <sheetPr codeName="Sheet507"/>
  <dimension ref="A1:B13"/>
  <sheetViews>
    <sheetView workbookViewId="0">
      <selection activeCell="B13" sqref="B13"/>
    </sheetView>
  </sheetViews>
  <sheetFormatPr defaultRowHeight="14.4"/>
  <cols>
    <col min="1" max="1" width="10" bestFit="1" customWidth="1"/>
    <col min="2" max="2" width="8.88671875" bestFit="1" customWidth="1"/>
    <col min="4" max="4" width="10" bestFit="1" customWidth="1"/>
  </cols>
  <sheetData>
    <row r="1" spans="1:2">
      <c r="A1" s="1" t="s">
        <v>3497</v>
      </c>
      <c r="B1" s="1" t="s">
        <v>3498</v>
      </c>
    </row>
    <row r="2" spans="1:2">
      <c r="A2" s="2">
        <v>14</v>
      </c>
      <c r="B2" s="2">
        <v>5</v>
      </c>
    </row>
    <row r="3" spans="1:2">
      <c r="A3" s="2">
        <v>20</v>
      </c>
      <c r="B3" s="2">
        <v>10</v>
      </c>
    </row>
    <row r="4" spans="1:2">
      <c r="A4" s="2">
        <v>75</v>
      </c>
      <c r="B4" s="2">
        <v>15</v>
      </c>
    </row>
    <row r="5" spans="1:2">
      <c r="A5" s="2">
        <v>100</v>
      </c>
      <c r="B5" s="2">
        <v>20</v>
      </c>
    </row>
    <row r="6" spans="1:2">
      <c r="A6" s="2">
        <v>34</v>
      </c>
      <c r="B6" s="2">
        <v>30</v>
      </c>
    </row>
    <row r="7" spans="1:2">
      <c r="A7" s="2">
        <v>39</v>
      </c>
      <c r="B7" s="2">
        <v>30</v>
      </c>
    </row>
    <row r="8" spans="1:2">
      <c r="A8" s="2">
        <v>44</v>
      </c>
      <c r="B8" s="2">
        <v>100</v>
      </c>
    </row>
    <row r="9" spans="1:2">
      <c r="A9" s="2">
        <v>49</v>
      </c>
      <c r="B9" s="2">
        <v>40</v>
      </c>
    </row>
    <row r="10" spans="1:2">
      <c r="A10" s="2">
        <v>22</v>
      </c>
      <c r="B10" s="2">
        <v>45</v>
      </c>
    </row>
    <row r="11" spans="1:2">
      <c r="A11" s="2">
        <v>59</v>
      </c>
      <c r="B11" s="2">
        <v>50</v>
      </c>
    </row>
    <row r="13" spans="1:2">
      <c r="A13" s="1" t="s">
        <v>4173</v>
      </c>
      <c r="B13" s="7">
        <f>COVAR(A2:A11,B2:B11)</f>
        <v>15.300000000000002</v>
      </c>
    </row>
  </sheetData>
  <pageMargins left="0.7" right="0.7" top="0.75" bottom="0.75" header="0.3" footer="0.3"/>
  <pageSetup orientation="portrait" horizontalDpi="4294967293" verticalDpi="0"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7B7C-E5AA-47BC-A3D2-710F0E6E35DE}">
  <sheetPr codeName="Sheet508"/>
  <dimension ref="A1:C15"/>
  <sheetViews>
    <sheetView workbookViewId="0">
      <selection activeCell="B13" sqref="B13"/>
    </sheetView>
  </sheetViews>
  <sheetFormatPr defaultRowHeight="14.4"/>
  <cols>
    <col min="1" max="1" width="10" bestFit="1" customWidth="1"/>
    <col min="2" max="2" width="19.6640625" bestFit="1" customWidth="1"/>
    <col min="3" max="3" width="10.88671875" bestFit="1" customWidth="1"/>
  </cols>
  <sheetData>
    <row r="1" spans="1:3">
      <c r="A1" s="1" t="s">
        <v>32</v>
      </c>
      <c r="B1" s="1" t="s">
        <v>4174</v>
      </c>
      <c r="C1" s="1" t="s">
        <v>3143</v>
      </c>
    </row>
    <row r="2" spans="1:3">
      <c r="A2" s="2" t="s">
        <v>307</v>
      </c>
      <c r="B2" s="53">
        <v>100</v>
      </c>
      <c r="C2" s="53">
        <v>150</v>
      </c>
    </row>
    <row r="3" spans="1:3">
      <c r="A3" s="2" t="s">
        <v>308</v>
      </c>
      <c r="B3" s="53">
        <v>500</v>
      </c>
      <c r="C3" s="53">
        <v>550</v>
      </c>
    </row>
    <row r="4" spans="1:3">
      <c r="A4" s="2" t="s">
        <v>309</v>
      </c>
      <c r="B4" s="53">
        <v>550</v>
      </c>
      <c r="C4" s="53">
        <v>400</v>
      </c>
    </row>
    <row r="5" spans="1:3">
      <c r="A5" s="2" t="s">
        <v>310</v>
      </c>
      <c r="B5" s="53">
        <v>450</v>
      </c>
      <c r="C5" s="53">
        <v>500</v>
      </c>
    </row>
    <row r="6" spans="1:3">
      <c r="A6" s="2" t="s">
        <v>51</v>
      </c>
      <c r="B6" s="53">
        <v>600</v>
      </c>
      <c r="C6" s="53">
        <v>700</v>
      </c>
    </row>
    <row r="7" spans="1:3">
      <c r="A7" s="2" t="s">
        <v>311</v>
      </c>
      <c r="B7" s="53">
        <v>150</v>
      </c>
      <c r="C7" s="53">
        <v>200</v>
      </c>
    </row>
    <row r="8" spans="1:3">
      <c r="A8" s="2" t="s">
        <v>312</v>
      </c>
      <c r="B8" s="53">
        <v>400</v>
      </c>
      <c r="C8" s="53">
        <v>450</v>
      </c>
    </row>
    <row r="9" spans="1:3">
      <c r="A9" s="2" t="s">
        <v>313</v>
      </c>
      <c r="B9" s="53">
        <v>250</v>
      </c>
      <c r="C9" s="53">
        <v>300</v>
      </c>
    </row>
    <row r="10" spans="1:3">
      <c r="A10" s="2" t="s">
        <v>314</v>
      </c>
      <c r="B10" s="53">
        <v>650</v>
      </c>
      <c r="C10" s="53">
        <v>250</v>
      </c>
    </row>
    <row r="11" spans="1:3">
      <c r="A11" s="2" t="s">
        <v>315</v>
      </c>
      <c r="B11" s="53">
        <v>550</v>
      </c>
      <c r="C11" s="53">
        <v>600</v>
      </c>
    </row>
    <row r="12" spans="1:3">
      <c r="A12" s="2" t="s">
        <v>316</v>
      </c>
      <c r="B12" s="53">
        <v>300</v>
      </c>
      <c r="C12" s="53">
        <v>350</v>
      </c>
    </row>
    <row r="13" spans="1:3">
      <c r="A13" s="2" t="s">
        <v>317</v>
      </c>
      <c r="B13" s="53">
        <v>450</v>
      </c>
      <c r="C13" s="53">
        <v>500</v>
      </c>
    </row>
    <row r="15" spans="1:3">
      <c r="A15" s="1" t="s">
        <v>4173</v>
      </c>
      <c r="B15" s="7">
        <f>COVAR(B2:B13,C2:C13)</f>
        <v>18385.416666666668</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3AF1-42BE-4811-B63C-E6B593F21AAB}">
  <sheetPr codeName="Sheet509"/>
  <dimension ref="A1:C13"/>
  <sheetViews>
    <sheetView workbookViewId="0">
      <selection activeCell="B13" sqref="B13"/>
    </sheetView>
  </sheetViews>
  <sheetFormatPr defaultRowHeight="14.4"/>
  <cols>
    <col min="1" max="1" width="10" bestFit="1" customWidth="1"/>
    <col min="2" max="2" width="12.44140625" bestFit="1" customWidth="1"/>
    <col min="3" max="3" width="12.109375" bestFit="1" customWidth="1"/>
  </cols>
  <sheetData>
    <row r="1" spans="1:3">
      <c r="A1" s="1" t="s">
        <v>108</v>
      </c>
      <c r="B1" s="1" t="s">
        <v>4175</v>
      </c>
      <c r="C1" s="1" t="s">
        <v>4176</v>
      </c>
    </row>
    <row r="2" spans="1:3">
      <c r="A2" s="2">
        <v>1</v>
      </c>
      <c r="B2" s="2">
        <v>2</v>
      </c>
      <c r="C2" s="2">
        <v>3</v>
      </c>
    </row>
    <row r="3" spans="1:3">
      <c r="A3" s="2">
        <v>2</v>
      </c>
      <c r="B3" s="2">
        <v>2</v>
      </c>
      <c r="C3" s="2">
        <v>2</v>
      </c>
    </row>
    <row r="4" spans="1:3">
      <c r="A4" s="2">
        <v>3</v>
      </c>
      <c r="B4" s="2">
        <v>1</v>
      </c>
      <c r="C4" s="2">
        <v>3</v>
      </c>
    </row>
    <row r="5" spans="1:3">
      <c r="A5" s="2">
        <v>4</v>
      </c>
      <c r="B5" s="2">
        <v>-1</v>
      </c>
      <c r="C5" s="2">
        <v>4</v>
      </c>
    </row>
    <row r="6" spans="1:3">
      <c r="A6" s="2">
        <v>5</v>
      </c>
      <c r="B6" s="2">
        <v>1</v>
      </c>
      <c r="C6" s="2">
        <v>2</v>
      </c>
    </row>
    <row r="7" spans="1:3">
      <c r="A7" s="2">
        <v>6</v>
      </c>
      <c r="B7" s="2">
        <v>2</v>
      </c>
      <c r="C7" s="2">
        <v>-1</v>
      </c>
    </row>
    <row r="8" spans="1:3">
      <c r="A8" s="2">
        <v>7</v>
      </c>
      <c r="B8" s="2">
        <v>1</v>
      </c>
      <c r="C8" s="2">
        <v>3</v>
      </c>
    </row>
    <row r="9" spans="1:3">
      <c r="A9" s="2">
        <v>8</v>
      </c>
      <c r="B9" s="2">
        <v>-1</v>
      </c>
      <c r="C9" s="2">
        <v>2</v>
      </c>
    </row>
    <row r="10" spans="1:3">
      <c r="A10" s="2">
        <v>9</v>
      </c>
      <c r="B10" s="2">
        <v>1</v>
      </c>
      <c r="C10" s="2">
        <v>-1</v>
      </c>
    </row>
    <row r="11" spans="1:3">
      <c r="A11" s="2">
        <v>10</v>
      </c>
      <c r="B11" s="2">
        <v>3</v>
      </c>
      <c r="C11" s="2">
        <v>2</v>
      </c>
    </row>
    <row r="13" spans="1:3">
      <c r="A13" s="1" t="s">
        <v>4173</v>
      </c>
      <c r="B13" s="7">
        <f>COVAR(B2:B11,C2:C11)</f>
        <v>-0.59000000000000008</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9D62-1C40-468C-9FF2-0B1B4905B8E6}">
  <sheetPr codeName="Sheet510"/>
  <dimension ref="A1:L13"/>
  <sheetViews>
    <sheetView zoomScaleNormal="100" workbookViewId="0">
      <selection activeCell="B13" sqref="B13"/>
    </sheetView>
  </sheetViews>
  <sheetFormatPr defaultRowHeight="14.4"/>
  <cols>
    <col min="1" max="1" width="10.109375" customWidth="1"/>
    <col min="2" max="2" width="10.109375" bestFit="1" customWidth="1"/>
    <col min="7" max="7" width="10.5546875" bestFit="1" customWidth="1"/>
    <col min="9" max="9" width="10.5546875" bestFit="1" customWidth="1"/>
    <col min="11" max="11" width="22.5546875" bestFit="1" customWidth="1"/>
    <col min="12" max="12" width="8.88671875" customWidth="1"/>
  </cols>
  <sheetData>
    <row r="1" spans="1:12">
      <c r="A1" s="460" t="s">
        <v>4188</v>
      </c>
      <c r="B1" s="461"/>
      <c r="D1" s="410" t="s">
        <v>4184</v>
      </c>
      <c r="E1" s="411"/>
      <c r="F1" s="411"/>
      <c r="G1" s="411"/>
      <c r="H1" s="411"/>
      <c r="I1" s="412"/>
      <c r="K1" s="410" t="s">
        <v>4173</v>
      </c>
      <c r="L1" s="412"/>
    </row>
    <row r="2" spans="1:12">
      <c r="A2" s="180" t="s">
        <v>4179</v>
      </c>
      <c r="B2" s="181" t="s">
        <v>4180</v>
      </c>
      <c r="D2" s="155"/>
      <c r="I2" s="156"/>
      <c r="K2" s="272" t="s">
        <v>4187</v>
      </c>
      <c r="L2" s="273" t="s">
        <v>4186</v>
      </c>
    </row>
    <row r="3" spans="1:12" ht="15" thickBot="1">
      <c r="A3" s="157">
        <v>44</v>
      </c>
      <c r="B3" s="159">
        <v>150</v>
      </c>
      <c r="D3" s="272" t="s">
        <v>4178</v>
      </c>
      <c r="E3" s="228" t="s">
        <v>4177</v>
      </c>
      <c r="G3" s="1" t="s">
        <v>4181</v>
      </c>
      <c r="H3" s="1" t="s">
        <v>4182</v>
      </c>
      <c r="I3" s="181" t="s">
        <v>4183</v>
      </c>
      <c r="K3" s="176">
        <f>SUM(I4:I13)/D7</f>
        <v>25.000000000000011</v>
      </c>
      <c r="L3" s="179">
        <f>COVAR(A3:A12,B3:B12)</f>
        <v>25.000000000000011</v>
      </c>
    </row>
    <row r="4" spans="1:12">
      <c r="A4" s="157">
        <v>88</v>
      </c>
      <c r="B4" s="159">
        <v>40</v>
      </c>
      <c r="D4" s="157">
        <f>AVERAGE(A3:A12)</f>
        <v>53.5</v>
      </c>
      <c r="E4" s="2">
        <f>AVERAGE(B3:B12)</f>
        <v>58.2</v>
      </c>
      <c r="G4" s="2">
        <f t="shared" ref="G4:G13" si="0">A3-$D$4</f>
        <v>-9.5</v>
      </c>
      <c r="H4" s="2">
        <f t="shared" ref="H4:H13" si="1">B3-$E$4</f>
        <v>91.8</v>
      </c>
      <c r="I4" s="159">
        <f>G4*H4</f>
        <v>-872.1</v>
      </c>
    </row>
    <row r="5" spans="1:12">
      <c r="A5" s="157">
        <v>55</v>
      </c>
      <c r="B5" s="159">
        <v>20</v>
      </c>
      <c r="D5" s="155"/>
      <c r="G5" s="2">
        <f t="shared" si="0"/>
        <v>34.5</v>
      </c>
      <c r="H5" s="2">
        <f t="shared" si="1"/>
        <v>-18.200000000000003</v>
      </c>
      <c r="I5" s="159">
        <f t="shared" ref="I5:I13" si="2">G5*H5</f>
        <v>-627.90000000000009</v>
      </c>
    </row>
    <row r="6" spans="1:12">
      <c r="A6" s="157">
        <v>10</v>
      </c>
      <c r="B6" s="159">
        <v>5</v>
      </c>
      <c r="D6" s="180" t="s">
        <v>1721</v>
      </c>
      <c r="G6" s="2">
        <f t="shared" si="0"/>
        <v>1.5</v>
      </c>
      <c r="H6" s="2">
        <f t="shared" si="1"/>
        <v>-38.200000000000003</v>
      </c>
      <c r="I6" s="159">
        <f t="shared" si="2"/>
        <v>-57.300000000000004</v>
      </c>
    </row>
    <row r="7" spans="1:12">
      <c r="A7" s="157">
        <v>33</v>
      </c>
      <c r="B7" s="159">
        <v>90</v>
      </c>
      <c r="D7" s="157">
        <v>10</v>
      </c>
      <c r="G7" s="2">
        <f t="shared" si="0"/>
        <v>-43.5</v>
      </c>
      <c r="H7" s="2">
        <f t="shared" si="1"/>
        <v>-53.2</v>
      </c>
      <c r="I7" s="159">
        <f t="shared" si="2"/>
        <v>2314.2000000000003</v>
      </c>
    </row>
    <row r="8" spans="1:12">
      <c r="A8" s="157">
        <v>11</v>
      </c>
      <c r="B8" s="159">
        <v>77</v>
      </c>
      <c r="D8" s="155"/>
      <c r="G8" s="2">
        <f t="shared" si="0"/>
        <v>-20.5</v>
      </c>
      <c r="H8" s="2">
        <f t="shared" si="1"/>
        <v>31.799999999999997</v>
      </c>
      <c r="I8" s="159">
        <f t="shared" si="2"/>
        <v>-651.9</v>
      </c>
    </row>
    <row r="9" spans="1:12">
      <c r="A9" s="157">
        <v>70</v>
      </c>
      <c r="B9" s="159">
        <v>30</v>
      </c>
      <c r="D9" s="155"/>
      <c r="G9" s="2">
        <f t="shared" si="0"/>
        <v>-42.5</v>
      </c>
      <c r="H9" s="2">
        <f t="shared" si="1"/>
        <v>18.799999999999997</v>
      </c>
      <c r="I9" s="159">
        <f t="shared" si="2"/>
        <v>-798.99999999999989</v>
      </c>
    </row>
    <row r="10" spans="1:12">
      <c r="A10" s="157">
        <v>66</v>
      </c>
      <c r="B10" s="159">
        <v>60</v>
      </c>
      <c r="D10" s="155"/>
      <c r="G10" s="2">
        <f t="shared" si="0"/>
        <v>16.5</v>
      </c>
      <c r="H10" s="2">
        <f t="shared" si="1"/>
        <v>-28.200000000000003</v>
      </c>
      <c r="I10" s="159">
        <f t="shared" si="2"/>
        <v>-465.30000000000007</v>
      </c>
    </row>
    <row r="11" spans="1:12">
      <c r="A11" s="157">
        <v>110</v>
      </c>
      <c r="B11" s="159">
        <v>80</v>
      </c>
      <c r="D11" s="155"/>
      <c r="G11" s="2">
        <f t="shared" si="0"/>
        <v>12.5</v>
      </c>
      <c r="H11" s="2">
        <f t="shared" si="1"/>
        <v>1.7999999999999972</v>
      </c>
      <c r="I11" s="159">
        <f t="shared" si="2"/>
        <v>22.499999999999964</v>
      </c>
    </row>
    <row r="12" spans="1:12" ht="15" thickBot="1">
      <c r="A12" s="174">
        <v>48</v>
      </c>
      <c r="B12" s="168">
        <v>30</v>
      </c>
      <c r="D12" s="155"/>
      <c r="G12" s="2">
        <f t="shared" si="0"/>
        <v>56.5</v>
      </c>
      <c r="H12" s="2">
        <f t="shared" si="1"/>
        <v>21.799999999999997</v>
      </c>
      <c r="I12" s="159">
        <f t="shared" si="2"/>
        <v>1231.6999999999998</v>
      </c>
    </row>
    <row r="13" spans="1:12" ht="15" thickBot="1">
      <c r="D13" s="182"/>
      <c r="E13" s="169"/>
      <c r="F13" s="169"/>
      <c r="G13" s="171">
        <f t="shared" si="0"/>
        <v>-5.5</v>
      </c>
      <c r="H13" s="171">
        <f t="shared" si="1"/>
        <v>-28.200000000000003</v>
      </c>
      <c r="I13" s="168">
        <f t="shared" si="2"/>
        <v>155.10000000000002</v>
      </c>
    </row>
  </sheetData>
  <mergeCells count="3">
    <mergeCell ref="D1:I1"/>
    <mergeCell ref="K1:L1"/>
    <mergeCell ref="A1:B1"/>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F3D4-34AA-42DE-A356-F99588DE052F}">
  <sheetPr codeName="Sheet511"/>
  <dimension ref="A1:G9"/>
  <sheetViews>
    <sheetView workbookViewId="0">
      <selection activeCell="B13" sqref="B13"/>
    </sheetView>
  </sheetViews>
  <sheetFormatPr defaultRowHeight="14.4"/>
  <cols>
    <col min="2" max="2" width="10" bestFit="1" customWidth="1"/>
    <col min="5" max="5" width="19.109375" bestFit="1" customWidth="1"/>
    <col min="6" max="6" width="35.88671875" bestFit="1" customWidth="1"/>
    <col min="7" max="7" width="32.44140625" bestFit="1" customWidth="1"/>
  </cols>
  <sheetData>
    <row r="1" spans="1:7">
      <c r="A1" s="400" t="s">
        <v>4194</v>
      </c>
      <c r="B1" s="368"/>
      <c r="C1" s="368"/>
      <c r="E1" s="369" t="s">
        <v>4191</v>
      </c>
      <c r="F1" s="369"/>
      <c r="G1" s="369"/>
    </row>
    <row r="2" spans="1:7">
      <c r="A2" s="1" t="s">
        <v>33</v>
      </c>
      <c r="B2" s="1" t="s">
        <v>4192</v>
      </c>
      <c r="C2" s="1" t="s">
        <v>4193</v>
      </c>
      <c r="E2" s="1" t="s">
        <v>4185</v>
      </c>
      <c r="F2" s="1" t="s">
        <v>4189</v>
      </c>
      <c r="G2" s="1" t="s">
        <v>4190</v>
      </c>
    </row>
    <row r="3" spans="1:7">
      <c r="A3" s="2">
        <v>2015</v>
      </c>
      <c r="B3" s="2">
        <v>2</v>
      </c>
      <c r="C3" s="2">
        <v>5</v>
      </c>
      <c r="E3" s="7">
        <f>COVAR(B3:B9,C3:C9)</f>
        <v>3.9183673469387754</v>
      </c>
      <c r="F3" s="7">
        <f>_xlfn.COVARIANCE.P(B3:B9,C3:C9)</f>
        <v>3.9183673469387754</v>
      </c>
      <c r="G3" s="7">
        <f>_xlfn.COVARIANCE.S(B3:B9,C3:C9)</f>
        <v>4.5714285714285712</v>
      </c>
    </row>
    <row r="4" spans="1:7">
      <c r="A4" s="2">
        <v>2016</v>
      </c>
      <c r="B4" s="2">
        <v>3</v>
      </c>
      <c r="C4" s="2">
        <v>8</v>
      </c>
    </row>
    <row r="5" spans="1:7">
      <c r="A5" s="2">
        <v>2017</v>
      </c>
      <c r="B5" s="2">
        <v>5</v>
      </c>
      <c r="C5" s="2">
        <v>9</v>
      </c>
    </row>
    <row r="6" spans="1:7">
      <c r="A6" s="2">
        <v>2018</v>
      </c>
      <c r="B6" s="2">
        <v>8</v>
      </c>
      <c r="C6" s="2">
        <v>10</v>
      </c>
    </row>
    <row r="7" spans="1:7">
      <c r="A7" s="2">
        <v>2019</v>
      </c>
      <c r="B7" s="2">
        <v>10</v>
      </c>
      <c r="C7" s="2">
        <v>6</v>
      </c>
    </row>
    <row r="8" spans="1:7">
      <c r="A8" s="2">
        <v>2020</v>
      </c>
      <c r="B8" s="2">
        <v>1</v>
      </c>
      <c r="C8" s="2">
        <v>2</v>
      </c>
    </row>
    <row r="9" spans="1:7">
      <c r="A9" s="2">
        <v>2021</v>
      </c>
      <c r="B9" s="2">
        <v>4</v>
      </c>
      <c r="C9" s="2">
        <v>7</v>
      </c>
    </row>
  </sheetData>
  <mergeCells count="2">
    <mergeCell ref="E1:G1"/>
    <mergeCell ref="A1:C1"/>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B1A79-B162-45AA-9B58-8C7A73D44EA6}">
  <sheetPr codeName="Sheet512"/>
  <dimension ref="A1:B9"/>
  <sheetViews>
    <sheetView workbookViewId="0"/>
  </sheetViews>
  <sheetFormatPr defaultRowHeight="14.4"/>
  <cols>
    <col min="1" max="1" width="10" bestFit="1" customWidth="1"/>
  </cols>
  <sheetData>
    <row r="1" spans="1:2">
      <c r="A1" s="1" t="s">
        <v>3497</v>
      </c>
      <c r="B1" s="1" t="s">
        <v>3498</v>
      </c>
    </row>
    <row r="2" spans="1:2">
      <c r="A2" s="2">
        <v>1</v>
      </c>
      <c r="B2" s="2" t="s">
        <v>2794</v>
      </c>
    </row>
    <row r="3" spans="1:2">
      <c r="A3" s="2">
        <v>2</v>
      </c>
      <c r="B3" s="2">
        <v>2</v>
      </c>
    </row>
    <row r="4" spans="1:2">
      <c r="A4" s="2" t="s">
        <v>2794</v>
      </c>
      <c r="B4" s="2">
        <v>4</v>
      </c>
    </row>
    <row r="5" spans="1:2">
      <c r="A5" s="2">
        <v>4</v>
      </c>
      <c r="B5" s="2">
        <v>6</v>
      </c>
    </row>
    <row r="6" spans="1:2">
      <c r="A6" s="2">
        <v>5</v>
      </c>
      <c r="B6" s="2">
        <v>3</v>
      </c>
    </row>
    <row r="7" spans="1:2">
      <c r="A7" s="2" t="s">
        <v>2794</v>
      </c>
      <c r="B7" s="2">
        <v>8</v>
      </c>
    </row>
    <row r="9" spans="1:2">
      <c r="A9" s="1" t="s">
        <v>4173</v>
      </c>
      <c r="B9" s="7">
        <f>COVAR(A2:A7,B2:B7)</f>
        <v>0.88888888888888884</v>
      </c>
    </row>
  </sheetData>
  <pageMargins left="0.7" right="0.7" top="0.75" bottom="0.75" header="0.3" footer="0.3"/>
  <pageSetup orientation="portrait" horizontalDpi="4294967293" verticalDpi="0"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9EB6-788D-4287-922D-6B7794922794}">
  <sheetPr codeName="Sheet513"/>
  <dimension ref="A1:F14"/>
  <sheetViews>
    <sheetView workbookViewId="0">
      <selection activeCell="I8" sqref="I8"/>
    </sheetView>
  </sheetViews>
  <sheetFormatPr defaultRowHeight="14.4"/>
  <cols>
    <col min="1" max="1" width="11.5546875" bestFit="1" customWidth="1"/>
    <col min="2" max="2" width="64.109375" bestFit="1" customWidth="1"/>
  </cols>
  <sheetData>
    <row r="1" spans="1:6">
      <c r="A1" s="1" t="s">
        <v>606</v>
      </c>
      <c r="B1" s="1" t="s">
        <v>622</v>
      </c>
      <c r="D1" t="s">
        <v>1599</v>
      </c>
    </row>
    <row r="2" spans="1:6">
      <c r="A2" s="2" t="s">
        <v>4195</v>
      </c>
      <c r="B2" s="2" t="s">
        <v>1633</v>
      </c>
      <c r="D2">
        <v>9</v>
      </c>
      <c r="E2">
        <v>10</v>
      </c>
      <c r="F2">
        <v>7</v>
      </c>
    </row>
    <row r="3" spans="1:6">
      <c r="A3" s="2"/>
      <c r="B3" s="2" t="s">
        <v>4197</v>
      </c>
      <c r="D3">
        <v>11</v>
      </c>
      <c r="E3">
        <v>9</v>
      </c>
      <c r="F3">
        <v>31</v>
      </c>
    </row>
    <row r="4" spans="1:6">
      <c r="A4" s="20">
        <v>44562</v>
      </c>
      <c r="B4" s="2" t="s">
        <v>670</v>
      </c>
      <c r="D4">
        <v>12</v>
      </c>
      <c r="E4">
        <v>8</v>
      </c>
      <c r="F4">
        <v>3</v>
      </c>
    </row>
    <row r="5" spans="1:6">
      <c r="A5" s="2">
        <v>50</v>
      </c>
      <c r="B5" s="2" t="s">
        <v>153</v>
      </c>
    </row>
    <row r="6" spans="1:6">
      <c r="A6" s="2"/>
      <c r="B6" s="2" t="s">
        <v>4197</v>
      </c>
    </row>
    <row r="7" spans="1:6">
      <c r="A7" s="82">
        <v>0.25</v>
      </c>
      <c r="B7" s="2" t="s">
        <v>4198</v>
      </c>
      <c r="D7">
        <v>8.32</v>
      </c>
      <c r="E7">
        <v>7.02</v>
      </c>
      <c r="F7">
        <v>10.66</v>
      </c>
    </row>
    <row r="8" spans="1:6">
      <c r="A8" s="2" t="s">
        <v>4196</v>
      </c>
      <c r="B8" s="2" t="s">
        <v>4202</v>
      </c>
      <c r="D8">
        <v>16.32</v>
      </c>
      <c r="E8">
        <v>13.77</v>
      </c>
      <c r="F8">
        <v>20.91</v>
      </c>
    </row>
    <row r="9" spans="1:6">
      <c r="A9" s="83">
        <v>1200</v>
      </c>
      <c r="B9" s="2" t="s">
        <v>20</v>
      </c>
      <c r="D9">
        <v>7.36</v>
      </c>
      <c r="E9">
        <v>6.21</v>
      </c>
      <c r="F9">
        <v>9.43</v>
      </c>
    </row>
    <row r="10" spans="1:6">
      <c r="A10" s="2" t="str">
        <f>IF(MOD(4,2)=0,"","NA")</f>
        <v/>
      </c>
      <c r="B10" s="2" t="s">
        <v>4203</v>
      </c>
    </row>
    <row r="11" spans="1:6">
      <c r="A11" s="2" t="e">
        <v>#DIV/0!</v>
      </c>
      <c r="B11" s="2" t="s">
        <v>4199</v>
      </c>
      <c r="D11">
        <f>_xlfn.CHISQ.TEST(D2:F4,D7:F9)</f>
        <v>9.1723341283173727E-4</v>
      </c>
    </row>
    <row r="12" spans="1:6">
      <c r="A12" s="2">
        <v>0</v>
      </c>
      <c r="B12" s="2" t="s">
        <v>4200</v>
      </c>
    </row>
    <row r="14" spans="1:6" ht="57.6">
      <c r="A14" s="8" t="s">
        <v>4201</v>
      </c>
      <c r="B14" s="47">
        <f>COUNTBLANK(A2:A12)</f>
        <v>3</v>
      </c>
    </row>
  </sheetData>
  <pageMargins left="0.7" right="0.7" top="0.75" bottom="0.75" header="0.3" footer="0.3"/>
  <pageSetup orientation="portrait" horizontalDpi="4294967293" verticalDpi="0"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64DB-6C68-46A8-86E4-E8EF7634A4F6}">
  <sheetPr codeName="Sheet514"/>
  <dimension ref="A1:J3"/>
  <sheetViews>
    <sheetView workbookViewId="0">
      <selection activeCell="I8" sqref="I8"/>
    </sheetView>
  </sheetViews>
  <sheetFormatPr defaultRowHeight="14.4"/>
  <cols>
    <col min="1" max="1" width="10" bestFit="1" customWidth="1"/>
    <col min="2" max="5" width="9.6640625" bestFit="1" customWidth="1"/>
    <col min="6" max="6" width="11.5546875" bestFit="1" customWidth="1"/>
    <col min="7" max="8" width="9.6640625" bestFit="1" customWidth="1"/>
    <col min="9" max="9" width="7.33203125" bestFit="1" customWidth="1"/>
    <col min="10" max="10" width="15.33203125" bestFit="1" customWidth="1"/>
  </cols>
  <sheetData>
    <row r="1" spans="1:10">
      <c r="J1" s="1" t="s">
        <v>4204</v>
      </c>
    </row>
    <row r="2" spans="1:10">
      <c r="A2" s="1" t="s">
        <v>1318</v>
      </c>
      <c r="B2" s="56" t="s">
        <v>347</v>
      </c>
      <c r="C2" s="56" t="s">
        <v>348</v>
      </c>
      <c r="D2" s="56"/>
      <c r="E2" s="56" t="s">
        <v>2011</v>
      </c>
      <c r="F2" s="56" t="s">
        <v>4158</v>
      </c>
      <c r="G2" s="56"/>
      <c r="H2" s="56" t="s">
        <v>2013</v>
      </c>
      <c r="I2" s="56" t="s">
        <v>351</v>
      </c>
      <c r="J2" s="7">
        <f>COUNTBLANK(B2:I2)</f>
        <v>2</v>
      </c>
    </row>
    <row r="3" spans="1:10">
      <c r="A3" s="1" t="s">
        <v>96</v>
      </c>
      <c r="B3" s="274">
        <v>39613493</v>
      </c>
      <c r="C3" s="274"/>
      <c r="D3" s="274">
        <v>21944577</v>
      </c>
      <c r="E3" s="274">
        <v>19299981</v>
      </c>
      <c r="F3" s="2"/>
      <c r="G3" s="95">
        <v>12569321</v>
      </c>
      <c r="H3" s="274">
        <v>11714618</v>
      </c>
      <c r="I3" s="2"/>
      <c r="J3" s="7">
        <f>COUNTBLANK(B3:I3)</f>
        <v>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D7C-9041-4441-924B-3DAB22B32C81}">
  <sheetPr codeName="Sheet515"/>
  <dimension ref="A1:F8"/>
  <sheetViews>
    <sheetView workbookViewId="0">
      <selection activeCell="I8" sqref="I8"/>
    </sheetView>
  </sheetViews>
  <sheetFormatPr defaultRowHeight="14.4"/>
  <cols>
    <col min="1" max="1" width="21.6640625" bestFit="1" customWidth="1"/>
    <col min="2" max="6" width="14.33203125" bestFit="1" customWidth="1"/>
  </cols>
  <sheetData>
    <row r="1" spans="1:6">
      <c r="A1" s="1" t="s">
        <v>440</v>
      </c>
      <c r="B1" s="1" t="s">
        <v>4205</v>
      </c>
      <c r="C1" s="1" t="s">
        <v>4206</v>
      </c>
      <c r="D1" s="1" t="s">
        <v>4207</v>
      </c>
      <c r="E1" s="1" t="s">
        <v>4208</v>
      </c>
      <c r="F1" s="1" t="s">
        <v>4209</v>
      </c>
    </row>
    <row r="2" spans="1:6">
      <c r="A2" s="2" t="s">
        <v>4210</v>
      </c>
      <c r="B2" s="53">
        <v>250</v>
      </c>
      <c r="C2" s="53">
        <v>220</v>
      </c>
      <c r="D2" s="53"/>
      <c r="E2" s="53">
        <v>109</v>
      </c>
      <c r="F2" s="53">
        <v>150</v>
      </c>
    </row>
    <row r="3" spans="1:6">
      <c r="A3" s="2" t="s">
        <v>4211</v>
      </c>
      <c r="B3" s="53">
        <v>300</v>
      </c>
      <c r="C3" s="53"/>
      <c r="D3" s="53">
        <v>210</v>
      </c>
      <c r="E3" s="53"/>
      <c r="F3" s="53"/>
    </row>
    <row r="4" spans="1:6">
      <c r="A4" s="2" t="s">
        <v>4212</v>
      </c>
      <c r="B4" s="53"/>
      <c r="C4" s="53">
        <v>90</v>
      </c>
      <c r="D4" s="53"/>
      <c r="E4" s="53">
        <v>230</v>
      </c>
      <c r="F4" s="53">
        <v>190</v>
      </c>
    </row>
    <row r="5" spans="1:6">
      <c r="A5" s="2" t="s">
        <v>4213</v>
      </c>
      <c r="B5" s="53"/>
      <c r="C5" s="53">
        <v>140</v>
      </c>
      <c r="D5" s="53">
        <v>110</v>
      </c>
      <c r="E5" s="53"/>
      <c r="F5" s="53">
        <v>130</v>
      </c>
    </row>
    <row r="6" spans="1:6">
      <c r="A6" s="2" t="s">
        <v>4214</v>
      </c>
      <c r="B6" s="53">
        <v>190</v>
      </c>
      <c r="C6" s="53">
        <v>260</v>
      </c>
      <c r="D6" s="53">
        <v>280</v>
      </c>
      <c r="E6" s="53">
        <v>240</v>
      </c>
      <c r="F6" s="53"/>
    </row>
    <row r="8" spans="1:6">
      <c r="A8" s="1" t="s">
        <v>4215</v>
      </c>
      <c r="B8" s="7">
        <f>COUNTBLANK(A1:F6)</f>
        <v>9</v>
      </c>
    </row>
  </sheetData>
  <pageMargins left="0.7" right="0.7" top="0.75" bottom="0.75" header="0.3" footer="0.3"/>
  <pageSetup orientation="portrait" horizontalDpi="4294967293" verticalDpi="0"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71B83-072D-4485-8710-67624E96D5CB}">
  <sheetPr codeName="Sheet516"/>
  <dimension ref="A1:B11"/>
  <sheetViews>
    <sheetView workbookViewId="0">
      <selection activeCell="I8" sqref="I8"/>
    </sheetView>
  </sheetViews>
  <sheetFormatPr defaultRowHeight="14.4"/>
  <cols>
    <col min="1" max="1" width="14.88671875" bestFit="1" customWidth="1"/>
    <col min="2" max="2" width="22.33203125" bestFit="1" customWidth="1"/>
  </cols>
  <sheetData>
    <row r="1" spans="1:2">
      <c r="A1" s="1" t="s">
        <v>0</v>
      </c>
      <c r="B1" s="1" t="s">
        <v>4216</v>
      </c>
    </row>
    <row r="2" spans="1:2">
      <c r="A2" s="2" t="s">
        <v>4217</v>
      </c>
      <c r="B2" s="2">
        <v>95</v>
      </c>
    </row>
    <row r="3" spans="1:2">
      <c r="A3" s="2" t="s">
        <v>4218</v>
      </c>
      <c r="B3" s="2"/>
    </row>
    <row r="4" spans="1:2">
      <c r="A4" s="2" t="s">
        <v>4219</v>
      </c>
      <c r="B4" s="2">
        <v>100</v>
      </c>
    </row>
    <row r="5" spans="1:2">
      <c r="A5" s="2" t="s">
        <v>4220</v>
      </c>
      <c r="B5" s="2">
        <v>85</v>
      </c>
    </row>
    <row r="6" spans="1:2">
      <c r="A6" s="2" t="s">
        <v>4221</v>
      </c>
      <c r="B6" s="2">
        <v>80</v>
      </c>
    </row>
    <row r="7" spans="1:2">
      <c r="A7" s="2" t="s">
        <v>4222</v>
      </c>
      <c r="B7" s="2">
        <v>75</v>
      </c>
    </row>
    <row r="8" spans="1:2">
      <c r="A8" s="2" t="s">
        <v>4223</v>
      </c>
      <c r="B8" s="2"/>
    </row>
    <row r="9" spans="1:2">
      <c r="A9" s="2" t="s">
        <v>4224</v>
      </c>
      <c r="B9" s="2">
        <v>98</v>
      </c>
    </row>
    <row r="10" spans="1:2">
      <c r="A10" s="2" t="s">
        <v>4225</v>
      </c>
      <c r="B10" s="2"/>
    </row>
    <row r="11" spans="1:2">
      <c r="A11" s="2" t="s">
        <v>4226</v>
      </c>
      <c r="B11" s="2">
        <v>70</v>
      </c>
    </row>
  </sheetData>
  <conditionalFormatting sqref="A2:B11">
    <cfRule type="expression" dxfId="2" priority="1">
      <formula>COUNTBLANK($A2:$B2)</formula>
    </cfRule>
  </conditionalFormatting>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A2EF-1B50-4189-884F-054147E9AF3C}">
  <sheetPr codeName="Sheet517"/>
  <dimension ref="A1:G10"/>
  <sheetViews>
    <sheetView workbookViewId="0">
      <selection activeCell="I8" sqref="I8"/>
    </sheetView>
  </sheetViews>
  <sheetFormatPr defaultRowHeight="14.4"/>
  <cols>
    <col min="1" max="1" width="18.109375" bestFit="1" customWidth="1"/>
    <col min="2" max="2" width="18.88671875" bestFit="1" customWidth="1"/>
    <col min="3" max="3" width="19.109375" bestFit="1" customWidth="1"/>
    <col min="4" max="4" width="19.5546875" bestFit="1" customWidth="1"/>
    <col min="5" max="5" width="19.109375" bestFit="1" customWidth="1"/>
    <col min="6" max="6" width="19.88671875" bestFit="1" customWidth="1"/>
    <col min="7" max="7" width="19" bestFit="1" customWidth="1"/>
  </cols>
  <sheetData>
    <row r="1" spans="1:7">
      <c r="A1" s="1" t="s">
        <v>387</v>
      </c>
      <c r="B1" s="1" t="s">
        <v>4227</v>
      </c>
      <c r="C1" s="1" t="s">
        <v>4228</v>
      </c>
      <c r="D1" s="1" t="s">
        <v>4229</v>
      </c>
      <c r="E1" s="1" t="s">
        <v>4230</v>
      </c>
      <c r="F1" s="1" t="s">
        <v>4231</v>
      </c>
      <c r="G1" s="1" t="s">
        <v>4232</v>
      </c>
    </row>
    <row r="2" spans="1:7">
      <c r="A2" s="2" t="s">
        <v>4233</v>
      </c>
      <c r="B2" s="2"/>
      <c r="C2" s="2">
        <v>140</v>
      </c>
      <c r="D2" s="2"/>
      <c r="E2" s="2">
        <v>200</v>
      </c>
      <c r="F2" s="2">
        <v>210</v>
      </c>
      <c r="G2" s="2">
        <v>130</v>
      </c>
    </row>
    <row r="3" spans="1:7">
      <c r="A3" s="2" t="s">
        <v>1333</v>
      </c>
      <c r="B3" s="2">
        <v>190</v>
      </c>
      <c r="C3" s="2">
        <v>240</v>
      </c>
      <c r="D3" s="2">
        <v>250</v>
      </c>
      <c r="E3" s="2">
        <v>195</v>
      </c>
      <c r="F3" s="2"/>
      <c r="G3" s="2"/>
    </row>
    <row r="4" spans="1:7">
      <c r="A4" s="2" t="s">
        <v>3144</v>
      </c>
      <c r="B4" s="2"/>
      <c r="C4" s="2"/>
      <c r="D4" s="2"/>
      <c r="E4" s="2"/>
      <c r="F4" s="2">
        <v>360</v>
      </c>
      <c r="G4" s="2">
        <v>320</v>
      </c>
    </row>
    <row r="5" spans="1:7">
      <c r="A5" s="2" t="s">
        <v>1893</v>
      </c>
      <c r="B5" s="2">
        <v>210</v>
      </c>
      <c r="C5" s="2">
        <v>310</v>
      </c>
      <c r="D5" s="2">
        <v>230</v>
      </c>
      <c r="E5" s="2">
        <v>220</v>
      </c>
      <c r="F5" s="2"/>
      <c r="G5" s="2"/>
    </row>
    <row r="6" spans="1:7">
      <c r="A6" s="2" t="s">
        <v>4234</v>
      </c>
      <c r="B6" s="2"/>
      <c r="C6" s="2"/>
      <c r="D6" s="2">
        <v>270</v>
      </c>
      <c r="E6" s="2">
        <v>290</v>
      </c>
      <c r="F6" s="2"/>
      <c r="G6" s="2">
        <v>280</v>
      </c>
    </row>
    <row r="8" spans="1:7" ht="28.8">
      <c r="A8" s="8" t="s">
        <v>4235</v>
      </c>
      <c r="B8" s="45">
        <v>30</v>
      </c>
    </row>
    <row r="9" spans="1:7" ht="43.2">
      <c r="A9" s="8" t="s">
        <v>4237</v>
      </c>
      <c r="B9" s="45">
        <f>COUNTA(B2:G6)</f>
        <v>17</v>
      </c>
    </row>
    <row r="10" spans="1:7" ht="43.2">
      <c r="A10" s="8" t="s">
        <v>4236</v>
      </c>
      <c r="B10" s="47">
        <f>IF(B8=B9,"Nil",COUNTBLANK(B2:G6))</f>
        <v>13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50CD-777C-40A2-93D8-F879974CCCE2}">
  <sheetPr codeName="Sheet518"/>
  <dimension ref="A1:B13"/>
  <sheetViews>
    <sheetView workbookViewId="0">
      <selection activeCell="B13" sqref="B13"/>
    </sheetView>
  </sheetViews>
  <sheetFormatPr defaultRowHeight="14.4"/>
  <cols>
    <col min="1" max="1" width="17.88671875" customWidth="1"/>
    <col min="2" max="2" width="64.109375" bestFit="1" customWidth="1"/>
  </cols>
  <sheetData>
    <row r="1" spans="1:2">
      <c r="A1" s="1" t="s">
        <v>606</v>
      </c>
      <c r="B1" s="1" t="s">
        <v>4238</v>
      </c>
    </row>
    <row r="2" spans="1:2">
      <c r="A2" s="2" t="s">
        <v>1185</v>
      </c>
      <c r="B2" s="2" t="s">
        <v>1633</v>
      </c>
    </row>
    <row r="3" spans="1:2">
      <c r="A3" s="139">
        <v>589</v>
      </c>
      <c r="B3" s="2" t="s">
        <v>4242</v>
      </c>
    </row>
    <row r="4" spans="1:2">
      <c r="A4" s="53">
        <v>10</v>
      </c>
      <c r="B4" s="2" t="s">
        <v>20</v>
      </c>
    </row>
    <row r="5" spans="1:2">
      <c r="A5" s="2"/>
      <c r="B5" s="2" t="s">
        <v>3889</v>
      </c>
    </row>
    <row r="6" spans="1:2">
      <c r="A6" s="2" t="s">
        <v>4239</v>
      </c>
      <c r="B6" s="2" t="s">
        <v>4243</v>
      </c>
    </row>
    <row r="7" spans="1:2">
      <c r="A7" s="15">
        <v>0.2</v>
      </c>
      <c r="B7" s="2" t="s">
        <v>610</v>
      </c>
    </row>
    <row r="8" spans="1:2">
      <c r="A8" s="2" t="str">
        <f>IF("b"&gt;"a","","NA")</f>
        <v/>
      </c>
      <c r="B8" s="2" t="s">
        <v>4240</v>
      </c>
    </row>
    <row r="9" spans="1:2">
      <c r="A9" s="14">
        <v>1000000</v>
      </c>
      <c r="B9" s="72" t="s">
        <v>153</v>
      </c>
    </row>
    <row r="10" spans="1:2">
      <c r="A10" s="2">
        <v>0</v>
      </c>
      <c r="B10" s="2" t="s">
        <v>4200</v>
      </c>
    </row>
    <row r="11" spans="1:2">
      <c r="A11" s="2" t="e">
        <v>#NAME?</v>
      </c>
      <c r="B11" s="2" t="s">
        <v>3964</v>
      </c>
    </row>
    <row r="13" spans="1:2" ht="28.8">
      <c r="A13" s="8" t="s">
        <v>4241</v>
      </c>
      <c r="B13" s="47">
        <v>2</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0B2-2DC6-4F1D-B07C-0D4DE9BAD2C4}">
  <sheetPr codeName="Sheet519"/>
  <dimension ref="A1:E11"/>
  <sheetViews>
    <sheetView workbookViewId="0"/>
  </sheetViews>
  <sheetFormatPr defaultRowHeight="14.4"/>
  <cols>
    <col min="1" max="1" width="18.88671875" bestFit="1" customWidth="1"/>
    <col min="2" max="5" width="18.44140625" bestFit="1" customWidth="1"/>
  </cols>
  <sheetData>
    <row r="1" spans="1:5">
      <c r="A1" s="1" t="s">
        <v>130</v>
      </c>
      <c r="B1" s="1" t="s">
        <v>4244</v>
      </c>
      <c r="C1" s="1" t="s">
        <v>4245</v>
      </c>
      <c r="D1" s="1" t="s">
        <v>4246</v>
      </c>
      <c r="E1" s="1" t="s">
        <v>4247</v>
      </c>
    </row>
    <row r="2" spans="1:5">
      <c r="A2" s="2" t="s">
        <v>131</v>
      </c>
      <c r="B2" s="53">
        <v>1000</v>
      </c>
      <c r="C2" s="53"/>
      <c r="D2" s="53"/>
      <c r="E2" s="53">
        <v>2300</v>
      </c>
    </row>
    <row r="3" spans="1:5">
      <c r="A3" s="2" t="s">
        <v>132</v>
      </c>
      <c r="B3" s="53"/>
      <c r="C3" s="53">
        <v>1400</v>
      </c>
      <c r="D3" s="53"/>
      <c r="E3" s="53">
        <v>2100</v>
      </c>
    </row>
    <row r="4" spans="1:5">
      <c r="A4" s="2" t="s">
        <v>133</v>
      </c>
      <c r="B4" s="53">
        <v>900</v>
      </c>
      <c r="C4" s="53">
        <v>1000</v>
      </c>
      <c r="D4" s="53"/>
      <c r="E4" s="53"/>
    </row>
    <row r="5" spans="1:5">
      <c r="A5" s="2" t="s">
        <v>134</v>
      </c>
      <c r="B5" s="53">
        <v>1500</v>
      </c>
      <c r="C5" s="53"/>
      <c r="D5" s="53"/>
      <c r="E5" s="53">
        <v>2500</v>
      </c>
    </row>
    <row r="6" spans="1:5">
      <c r="A6" s="2" t="s">
        <v>135</v>
      </c>
      <c r="B6" s="53"/>
      <c r="C6" s="53">
        <v>2700</v>
      </c>
      <c r="D6" s="53"/>
      <c r="E6" s="53">
        <v>3000</v>
      </c>
    </row>
    <row r="7" spans="1:5">
      <c r="A7" s="2" t="s">
        <v>211</v>
      </c>
      <c r="B7" s="53">
        <v>500</v>
      </c>
      <c r="C7" s="53"/>
      <c r="D7" s="53"/>
      <c r="E7" s="53"/>
    </row>
    <row r="8" spans="1:5">
      <c r="A8" s="1" t="s">
        <v>4248</v>
      </c>
      <c r="B8" s="7">
        <f>COUNTBLANK(B2:B7)</f>
        <v>2</v>
      </c>
      <c r="C8" s="7">
        <f t="shared" ref="C8:D8" si="0">COUNTBLANK(C2:C7)</f>
        <v>3</v>
      </c>
      <c r="D8" s="7">
        <f t="shared" si="0"/>
        <v>6</v>
      </c>
      <c r="E8" s="7">
        <f>COUNTBLANK(E2:E7)</f>
        <v>2</v>
      </c>
    </row>
    <row r="11" spans="1:5">
      <c r="A11" s="1" t="s">
        <v>4249</v>
      </c>
      <c r="B11" s="7">
        <f>COUNTIF(B8:E8, ROWS(B2:B7))</f>
        <v>1</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3422-0473-45AF-B5ED-21573F82CF8C}">
  <sheetPr codeName="Sheet520"/>
  <dimension ref="A1:D9"/>
  <sheetViews>
    <sheetView workbookViewId="0">
      <selection activeCell="G13" sqref="G13"/>
    </sheetView>
  </sheetViews>
  <sheetFormatPr defaultRowHeight="14.4"/>
  <cols>
    <col min="1" max="1" width="10.5546875" bestFit="1" customWidth="1"/>
    <col min="2" max="3" width="29" bestFit="1" customWidth="1"/>
    <col min="4" max="4" width="5.109375" bestFit="1" customWidth="1"/>
  </cols>
  <sheetData>
    <row r="1" spans="1:4">
      <c r="A1" s="410" t="s">
        <v>4267</v>
      </c>
      <c r="B1" s="411"/>
      <c r="C1" s="411"/>
      <c r="D1" s="412"/>
    </row>
    <row r="2" spans="1:4">
      <c r="A2" s="155"/>
      <c r="B2" s="424" t="s">
        <v>4281</v>
      </c>
      <c r="C2" s="424"/>
      <c r="D2" s="156"/>
    </row>
    <row r="3" spans="1:4">
      <c r="A3" s="180" t="s">
        <v>108</v>
      </c>
      <c r="B3" s="1" t="s">
        <v>4256</v>
      </c>
      <c r="C3" s="1" t="s">
        <v>4255</v>
      </c>
      <c r="D3" s="181" t="s">
        <v>4257</v>
      </c>
    </row>
    <row r="4" spans="1:4">
      <c r="A4" s="157" t="s">
        <v>2272</v>
      </c>
      <c r="B4" s="2">
        <v>120</v>
      </c>
      <c r="C4" s="2">
        <v>100</v>
      </c>
      <c r="D4" s="178">
        <f>SUM(B4:C4)</f>
        <v>220</v>
      </c>
    </row>
    <row r="5" spans="1:4">
      <c r="A5" s="157" t="s">
        <v>3727</v>
      </c>
      <c r="B5" s="2">
        <v>80</v>
      </c>
      <c r="C5" s="2">
        <v>120</v>
      </c>
      <c r="D5" s="178">
        <f t="shared" ref="D5:D9" si="0">SUM(B5:C5)</f>
        <v>200</v>
      </c>
    </row>
    <row r="6" spans="1:4">
      <c r="A6" s="157" t="s">
        <v>3728</v>
      </c>
      <c r="B6" s="2">
        <v>90</v>
      </c>
      <c r="C6" s="2">
        <v>130</v>
      </c>
      <c r="D6" s="178">
        <f t="shared" si="0"/>
        <v>220</v>
      </c>
    </row>
    <row r="7" spans="1:4">
      <c r="A7" s="157" t="s">
        <v>2273</v>
      </c>
      <c r="B7" s="2">
        <v>100</v>
      </c>
      <c r="C7" s="2">
        <v>70</v>
      </c>
      <c r="D7" s="178">
        <f t="shared" si="0"/>
        <v>170</v>
      </c>
    </row>
    <row r="8" spans="1:4">
      <c r="A8" s="157" t="s">
        <v>3729</v>
      </c>
      <c r="B8" s="2">
        <v>90</v>
      </c>
      <c r="C8" s="2">
        <v>100</v>
      </c>
      <c r="D8" s="178">
        <f t="shared" si="0"/>
        <v>190</v>
      </c>
    </row>
    <row r="9" spans="1:4" ht="15" thickBot="1">
      <c r="A9" s="276" t="s">
        <v>4257</v>
      </c>
      <c r="B9" s="177">
        <f>SUM(B4:B8)</f>
        <v>480</v>
      </c>
      <c r="C9" s="177">
        <f>SUM(C4:C8)</f>
        <v>520</v>
      </c>
      <c r="D9" s="179">
        <f t="shared" si="0"/>
        <v>1000</v>
      </c>
    </row>
  </sheetData>
  <mergeCells count="2">
    <mergeCell ref="A1:D1"/>
    <mergeCell ref="B2:C2"/>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8E04-9DE6-4F06-9F61-236F4C94F034}">
  <sheetPr codeName="Sheet521"/>
  <dimension ref="A1:I28"/>
  <sheetViews>
    <sheetView zoomScale="70" zoomScaleNormal="70" workbookViewId="0">
      <selection activeCell="G13" sqref="G13"/>
    </sheetView>
  </sheetViews>
  <sheetFormatPr defaultRowHeight="14.4"/>
  <cols>
    <col min="1" max="1" width="21.5546875" bestFit="1" customWidth="1"/>
    <col min="2" max="3" width="29" bestFit="1" customWidth="1"/>
    <col min="4" max="4" width="11.88671875" bestFit="1" customWidth="1"/>
    <col min="5" max="5" width="1" customWidth="1"/>
    <col min="6" max="6" width="21.5546875" bestFit="1" customWidth="1"/>
    <col min="7" max="7" width="36.6640625" customWidth="1"/>
    <col min="8" max="8" width="31.109375" customWidth="1"/>
    <col min="9" max="9" width="39.5546875" customWidth="1"/>
  </cols>
  <sheetData>
    <row r="1" spans="1:9">
      <c r="A1" s="410" t="s">
        <v>4267</v>
      </c>
      <c r="B1" s="411"/>
      <c r="C1" s="411"/>
      <c r="D1" s="412"/>
    </row>
    <row r="2" spans="1:9">
      <c r="A2" s="155"/>
      <c r="B2" s="424" t="s">
        <v>4281</v>
      </c>
      <c r="C2" s="424"/>
      <c r="D2" s="156"/>
    </row>
    <row r="3" spans="1:9">
      <c r="A3" s="180" t="s">
        <v>108</v>
      </c>
      <c r="B3" s="1" t="s">
        <v>4256</v>
      </c>
      <c r="C3" s="1" t="s">
        <v>4255</v>
      </c>
      <c r="D3" s="181" t="s">
        <v>4257</v>
      </c>
    </row>
    <row r="4" spans="1:9">
      <c r="A4" s="157" t="s">
        <v>2272</v>
      </c>
      <c r="B4" s="2">
        <v>120</v>
      </c>
      <c r="C4" s="2">
        <v>100</v>
      </c>
      <c r="D4" s="178">
        <f>SUM(B4:C4)</f>
        <v>220</v>
      </c>
    </row>
    <row r="5" spans="1:9">
      <c r="A5" s="157" t="s">
        <v>3727</v>
      </c>
      <c r="B5" s="2">
        <v>80</v>
      </c>
      <c r="C5" s="2">
        <v>120</v>
      </c>
      <c r="D5" s="178">
        <f t="shared" ref="D5:D9" si="0">SUM(B5:C5)</f>
        <v>200</v>
      </c>
    </row>
    <row r="6" spans="1:9">
      <c r="A6" s="157" t="s">
        <v>3728</v>
      </c>
      <c r="B6" s="2">
        <v>90</v>
      </c>
      <c r="C6" s="2">
        <v>130</v>
      </c>
      <c r="D6" s="178">
        <f t="shared" si="0"/>
        <v>220</v>
      </c>
    </row>
    <row r="7" spans="1:9">
      <c r="A7" s="157" t="s">
        <v>2273</v>
      </c>
      <c r="B7" s="2">
        <v>100</v>
      </c>
      <c r="C7" s="2">
        <v>70</v>
      </c>
      <c r="D7" s="178">
        <f t="shared" si="0"/>
        <v>170</v>
      </c>
    </row>
    <row r="8" spans="1:9">
      <c r="A8" s="157" t="s">
        <v>3729</v>
      </c>
      <c r="B8" s="2">
        <v>90</v>
      </c>
      <c r="C8" s="2">
        <v>100</v>
      </c>
      <c r="D8" s="178">
        <f t="shared" si="0"/>
        <v>190</v>
      </c>
    </row>
    <row r="9" spans="1:9" ht="15" thickBot="1">
      <c r="A9" s="180" t="s">
        <v>4257</v>
      </c>
      <c r="B9" s="7">
        <f>SUM(B4:B8)</f>
        <v>480</v>
      </c>
      <c r="C9" s="7">
        <f>SUM(C4:C8)</f>
        <v>520</v>
      </c>
      <c r="D9" s="178">
        <f t="shared" si="0"/>
        <v>1000</v>
      </c>
    </row>
    <row r="10" spans="1:9">
      <c r="A10" s="155"/>
      <c r="D10" s="156"/>
      <c r="F10" s="410" t="s">
        <v>605</v>
      </c>
      <c r="G10" s="411"/>
      <c r="H10" s="411"/>
      <c r="I10" s="412"/>
    </row>
    <row r="11" spans="1:9">
      <c r="A11" s="155"/>
      <c r="B11" s="462" t="s">
        <v>4282</v>
      </c>
      <c r="C11" s="462"/>
      <c r="D11" s="156"/>
      <c r="F11" s="155"/>
      <c r="G11" s="462" t="s">
        <v>4282</v>
      </c>
      <c r="H11" s="462"/>
      <c r="I11" s="156"/>
    </row>
    <row r="12" spans="1:9">
      <c r="A12" s="180" t="s">
        <v>108</v>
      </c>
      <c r="B12" s="1" t="s">
        <v>4256</v>
      </c>
      <c r="C12" s="1" t="s">
        <v>4255</v>
      </c>
      <c r="D12" s="156"/>
      <c r="F12" s="180" t="s">
        <v>108</v>
      </c>
      <c r="G12" s="1" t="s">
        <v>4256</v>
      </c>
      <c r="H12" s="1" t="s">
        <v>4255</v>
      </c>
      <c r="I12" s="156"/>
    </row>
    <row r="13" spans="1:9">
      <c r="A13" s="157" t="s">
        <v>2272</v>
      </c>
      <c r="B13" s="7">
        <f>$B$9*D4/$D$9</f>
        <v>105.6</v>
      </c>
      <c r="C13" s="7">
        <f>$C$9*D4/$D$9</f>
        <v>114.4</v>
      </c>
      <c r="D13" s="156"/>
      <c r="F13" s="157" t="s">
        <v>2272</v>
      </c>
      <c r="G13" s="275" t="s">
        <v>4269</v>
      </c>
      <c r="H13" s="42" t="s">
        <v>4274</v>
      </c>
      <c r="I13" s="156"/>
    </row>
    <row r="14" spans="1:9">
      <c r="A14" s="157" t="s">
        <v>3727</v>
      </c>
      <c r="B14" s="7">
        <f t="shared" ref="B14:B17" si="1">$B$9*D5/$D$9</f>
        <v>96</v>
      </c>
      <c r="C14" s="7">
        <f t="shared" ref="C14:C17" si="2">$C$9*D5/$D$9</f>
        <v>104</v>
      </c>
      <c r="D14" s="156"/>
      <c r="F14" s="157" t="s">
        <v>3727</v>
      </c>
      <c r="G14" s="275" t="s">
        <v>4270</v>
      </c>
      <c r="H14" s="42" t="s">
        <v>4275</v>
      </c>
      <c r="I14" s="156"/>
    </row>
    <row r="15" spans="1:9">
      <c r="A15" s="157" t="s">
        <v>3728</v>
      </c>
      <c r="B15" s="7">
        <f t="shared" si="1"/>
        <v>105.6</v>
      </c>
      <c r="C15" s="7">
        <f t="shared" si="2"/>
        <v>114.4</v>
      </c>
      <c r="D15" s="156"/>
      <c r="F15" s="157" t="s">
        <v>3728</v>
      </c>
      <c r="G15" s="275" t="s">
        <v>4271</v>
      </c>
      <c r="H15" s="42" t="s">
        <v>4276</v>
      </c>
      <c r="I15" s="156"/>
    </row>
    <row r="16" spans="1:9">
      <c r="A16" s="157" t="s">
        <v>2273</v>
      </c>
      <c r="B16" s="7">
        <f t="shared" si="1"/>
        <v>81.599999999999994</v>
      </c>
      <c r="C16" s="7">
        <f t="shared" si="2"/>
        <v>88.4</v>
      </c>
      <c r="D16" s="156"/>
      <c r="F16" s="157" t="s">
        <v>2273</v>
      </c>
      <c r="G16" s="275" t="s">
        <v>4272</v>
      </c>
      <c r="H16" s="42" t="s">
        <v>4277</v>
      </c>
      <c r="I16" s="156"/>
    </row>
    <row r="17" spans="1:9">
      <c r="A17" s="157" t="s">
        <v>3729</v>
      </c>
      <c r="B17" s="7">
        <f t="shared" si="1"/>
        <v>91.2</v>
      </c>
      <c r="C17" s="7">
        <f t="shared" si="2"/>
        <v>98.8</v>
      </c>
      <c r="D17" s="156"/>
      <c r="F17" s="157" t="s">
        <v>3729</v>
      </c>
      <c r="G17" s="275" t="s">
        <v>4273</v>
      </c>
      <c r="H17" s="42" t="s">
        <v>4278</v>
      </c>
      <c r="I17" s="156"/>
    </row>
    <row r="18" spans="1:9">
      <c r="A18" s="155"/>
      <c r="D18" s="156"/>
      <c r="F18" s="155"/>
      <c r="I18" s="156"/>
    </row>
    <row r="19" spans="1:9" ht="16.2">
      <c r="A19" s="155"/>
      <c r="B19" s="462" t="s">
        <v>4258</v>
      </c>
      <c r="C19" s="462"/>
      <c r="D19" s="156"/>
      <c r="F19" s="155"/>
      <c r="G19" s="462" t="s">
        <v>4258</v>
      </c>
      <c r="H19" s="462"/>
      <c r="I19" s="156"/>
    </row>
    <row r="20" spans="1:9">
      <c r="A20" s="180" t="s">
        <v>108</v>
      </c>
      <c r="B20" s="1" t="s">
        <v>4256</v>
      </c>
      <c r="C20" s="1" t="s">
        <v>4255</v>
      </c>
      <c r="D20" s="156"/>
      <c r="F20" s="180" t="s">
        <v>108</v>
      </c>
      <c r="G20" s="1" t="s">
        <v>4256</v>
      </c>
      <c r="H20" s="1" t="s">
        <v>4255</v>
      </c>
      <c r="I20" s="156"/>
    </row>
    <row r="21" spans="1:9">
      <c r="A21" s="157" t="s">
        <v>2272</v>
      </c>
      <c r="B21" s="7">
        <f>((B4-B13)^2)/B13</f>
        <v>1.9636363636363652</v>
      </c>
      <c r="C21" s="7">
        <f>((C4-C13)^2)/C13</f>
        <v>1.812587412587414</v>
      </c>
      <c r="D21" s="156"/>
      <c r="F21" s="157" t="s">
        <v>2272</v>
      </c>
      <c r="G21" s="65" t="s">
        <v>4259</v>
      </c>
      <c r="H21" s="65" t="s">
        <v>4263</v>
      </c>
      <c r="I21" s="156"/>
    </row>
    <row r="22" spans="1:9">
      <c r="A22" s="157" t="s">
        <v>3727</v>
      </c>
      <c r="B22" s="7">
        <f t="shared" ref="B22:C25" si="3">((B5-B14)^2)/B14</f>
        <v>2.6666666666666665</v>
      </c>
      <c r="C22" s="7">
        <f t="shared" si="3"/>
        <v>2.4615384615384617</v>
      </c>
      <c r="D22" s="156"/>
      <c r="F22" s="157" t="s">
        <v>3727</v>
      </c>
      <c r="G22" s="65" t="s">
        <v>4260</v>
      </c>
      <c r="H22" s="65" t="s">
        <v>4264</v>
      </c>
      <c r="I22" s="156"/>
    </row>
    <row r="23" spans="1:9">
      <c r="A23" s="157" t="s">
        <v>3728</v>
      </c>
      <c r="B23" s="7">
        <f t="shared" si="3"/>
        <v>2.3045454545454529</v>
      </c>
      <c r="C23" s="7">
        <f t="shared" si="3"/>
        <v>2.1272727272727256</v>
      </c>
      <c r="D23" s="156"/>
      <c r="F23" s="157" t="s">
        <v>3728</v>
      </c>
      <c r="G23" s="65" t="s">
        <v>4261</v>
      </c>
      <c r="H23" s="65" t="s">
        <v>4265</v>
      </c>
      <c r="I23" s="156"/>
    </row>
    <row r="24" spans="1:9">
      <c r="A24" s="157" t="s">
        <v>2273</v>
      </c>
      <c r="B24" s="7">
        <f t="shared" si="3"/>
        <v>4.1490196078431403</v>
      </c>
      <c r="C24" s="7">
        <f t="shared" si="3"/>
        <v>3.8298642533936675</v>
      </c>
      <c r="D24" s="156"/>
      <c r="F24" s="157" t="s">
        <v>2273</v>
      </c>
      <c r="G24" s="65" t="s">
        <v>4262</v>
      </c>
      <c r="H24" s="65" t="s">
        <v>4266</v>
      </c>
      <c r="I24" s="156"/>
    </row>
    <row r="25" spans="1:9">
      <c r="A25" s="157" t="s">
        <v>3729</v>
      </c>
      <c r="B25" s="7">
        <f t="shared" si="3"/>
        <v>1.57894736842106E-2</v>
      </c>
      <c r="C25" s="7">
        <f t="shared" si="3"/>
        <v>1.457489878542517E-2</v>
      </c>
      <c r="D25" s="156"/>
      <c r="F25" s="157" t="s">
        <v>3729</v>
      </c>
      <c r="G25" s="65" t="s">
        <v>4279</v>
      </c>
      <c r="H25" s="65" t="s">
        <v>4280</v>
      </c>
      <c r="I25" s="156"/>
    </row>
    <row r="26" spans="1:9">
      <c r="A26" s="155"/>
      <c r="D26" s="156"/>
      <c r="F26" s="155"/>
      <c r="I26" s="156"/>
    </row>
    <row r="27" spans="1:9" ht="28.8">
      <c r="A27" s="180" t="s">
        <v>4300</v>
      </c>
      <c r="B27" s="47">
        <f>SUM(B21:C25)</f>
        <v>21.345495319953532</v>
      </c>
      <c r="C27" s="280" t="s">
        <v>4268</v>
      </c>
      <c r="D27" s="281">
        <f>(5-1)*(2-1)</f>
        <v>4</v>
      </c>
      <c r="F27" s="180" t="s">
        <v>4300</v>
      </c>
      <c r="G27" s="124" t="s">
        <v>4284</v>
      </c>
      <c r="H27" s="282" t="s">
        <v>4268</v>
      </c>
      <c r="I27" s="283" t="s">
        <v>4285</v>
      </c>
    </row>
    <row r="28" spans="1:9" ht="15" thickBot="1">
      <c r="A28" s="276" t="s">
        <v>4283</v>
      </c>
      <c r="B28" s="278">
        <f>_xlfn.CHISQ.INV.RT(0.05,D27)</f>
        <v>9.4877290367811575</v>
      </c>
      <c r="C28" s="276" t="s">
        <v>4253</v>
      </c>
      <c r="D28" s="278">
        <f>_xlfn.CHISQ.TEST(B4:C8,B13:C17)</f>
        <v>2.7043175192002702E-4</v>
      </c>
      <c r="F28" s="276" t="s">
        <v>4283</v>
      </c>
      <c r="G28" s="277" t="s">
        <v>4297</v>
      </c>
      <c r="H28" s="276" t="s">
        <v>4253</v>
      </c>
      <c r="I28" s="279" t="s">
        <v>4296</v>
      </c>
    </row>
  </sheetData>
  <mergeCells count="7">
    <mergeCell ref="A1:D1"/>
    <mergeCell ref="F10:I10"/>
    <mergeCell ref="B2:C2"/>
    <mergeCell ref="B11:C11"/>
    <mergeCell ref="B19:C19"/>
    <mergeCell ref="G11:H11"/>
    <mergeCell ref="G19:H1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8120-45C6-41A9-A964-0610EEBE916A}">
  <sheetPr codeName="Sheet522"/>
  <dimension ref="A1:D12"/>
  <sheetViews>
    <sheetView workbookViewId="0">
      <selection activeCell="G13" sqref="G13"/>
    </sheetView>
  </sheetViews>
  <sheetFormatPr defaultRowHeight="14.4"/>
  <cols>
    <col min="1" max="1" width="20.6640625" bestFit="1" customWidth="1"/>
    <col min="2" max="2" width="15.109375" customWidth="1"/>
    <col min="3" max="3" width="16.44140625" customWidth="1"/>
    <col min="4" max="4" width="28.5546875" bestFit="1" customWidth="1"/>
    <col min="6" max="6" width="20.6640625" bestFit="1" customWidth="1"/>
  </cols>
  <sheetData>
    <row r="1" spans="1:4" ht="16.5" customHeight="1">
      <c r="A1" s="369" t="s">
        <v>856</v>
      </c>
      <c r="B1" s="369" t="s">
        <v>4291</v>
      </c>
      <c r="C1" s="369"/>
      <c r="D1" s="369" t="s">
        <v>4252</v>
      </c>
    </row>
    <row r="2" spans="1:4">
      <c r="A2" s="369"/>
      <c r="B2" s="1" t="s">
        <v>4250</v>
      </c>
      <c r="C2" s="1" t="s">
        <v>4251</v>
      </c>
      <c r="D2" s="369"/>
    </row>
    <row r="3" spans="1:4">
      <c r="A3" s="2" t="s">
        <v>4286</v>
      </c>
      <c r="B3" s="2">
        <v>180</v>
      </c>
      <c r="C3" s="2">
        <v>200</v>
      </c>
      <c r="D3" s="7">
        <f>((B3-C3)^2)/C3</f>
        <v>2</v>
      </c>
    </row>
    <row r="4" spans="1:4">
      <c r="A4" s="2" t="s">
        <v>4287</v>
      </c>
      <c r="B4" s="2">
        <v>210</v>
      </c>
      <c r="C4" s="2">
        <v>200</v>
      </c>
      <c r="D4" s="7">
        <f t="shared" ref="D4:D7" si="0">((B4-C4)^2)/C4</f>
        <v>0.5</v>
      </c>
    </row>
    <row r="5" spans="1:4">
      <c r="A5" s="2" t="s">
        <v>4288</v>
      </c>
      <c r="B5" s="2">
        <v>200</v>
      </c>
      <c r="C5" s="2">
        <v>200</v>
      </c>
      <c r="D5" s="7">
        <f t="shared" si="0"/>
        <v>0</v>
      </c>
    </row>
    <row r="6" spans="1:4">
      <c r="A6" s="2" t="s">
        <v>4289</v>
      </c>
      <c r="B6" s="2">
        <v>195</v>
      </c>
      <c r="C6" s="2">
        <v>200</v>
      </c>
      <c r="D6" s="7">
        <f t="shared" si="0"/>
        <v>0.125</v>
      </c>
    </row>
    <row r="7" spans="1:4">
      <c r="A7" s="2" t="s">
        <v>4290</v>
      </c>
      <c r="B7" s="2">
        <v>220</v>
      </c>
      <c r="C7" s="2">
        <v>200</v>
      </c>
      <c r="D7" s="7">
        <f t="shared" si="0"/>
        <v>2</v>
      </c>
    </row>
    <row r="8" spans="1:4">
      <c r="A8" s="14"/>
      <c r="B8" s="14"/>
      <c r="C8" s="14"/>
      <c r="D8" s="14"/>
    </row>
    <row r="10" spans="1:4" ht="16.2">
      <c r="A10" s="1" t="s">
        <v>4301</v>
      </c>
      <c r="B10" s="7">
        <f>SUM(D3:D7)</f>
        <v>4.625</v>
      </c>
    </row>
    <row r="11" spans="1:4">
      <c r="A11" s="1" t="s">
        <v>4254</v>
      </c>
      <c r="B11" s="7">
        <f>(5-1)</f>
        <v>4</v>
      </c>
    </row>
    <row r="12" spans="1:4">
      <c r="A12" s="1" t="s">
        <v>4253</v>
      </c>
      <c r="B12" s="7">
        <f>_xlfn.CHISQ.DIST.RT(B10,B11)</f>
        <v>0.32798191520517461</v>
      </c>
    </row>
  </sheetData>
  <mergeCells count="3">
    <mergeCell ref="A1:A2"/>
    <mergeCell ref="B1:C1"/>
    <mergeCell ref="D1:D2"/>
  </mergeCells>
  <pageMargins left="0.7" right="0.7" top="0.75" bottom="0.75" header="0.3" footer="0.3"/>
  <pageSetup orientation="portrait" horizontalDpi="4294967293" verticalDpi="0"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13437-0433-4AB5-8EF8-BA4CD7D51F2D}">
  <sheetPr codeName="Sheet523"/>
  <dimension ref="A1:L18"/>
  <sheetViews>
    <sheetView workbookViewId="0">
      <selection activeCell="G13" sqref="G13"/>
    </sheetView>
  </sheetViews>
  <sheetFormatPr defaultRowHeight="14.4"/>
  <cols>
    <col min="1" max="1" width="21.88671875" bestFit="1" customWidth="1"/>
    <col min="2" max="4" width="8.88671875" customWidth="1"/>
    <col min="6" max="6" width="21.88671875" bestFit="1" customWidth="1"/>
    <col min="7" max="9" width="10.88671875" customWidth="1"/>
    <col min="10" max="10" width="3" customWidth="1"/>
    <col min="11" max="11" width="21.5546875" bestFit="1" customWidth="1"/>
    <col min="12" max="12" width="11.88671875" bestFit="1" customWidth="1"/>
  </cols>
  <sheetData>
    <row r="1" spans="1:12">
      <c r="B1" s="368" t="s">
        <v>4281</v>
      </c>
      <c r="C1" s="368"/>
      <c r="D1" s="368"/>
    </row>
    <row r="2" spans="1:12">
      <c r="A2" s="369" t="s">
        <v>4298</v>
      </c>
      <c r="B2" s="371" t="s">
        <v>4299</v>
      </c>
      <c r="C2" s="372"/>
      <c r="D2" s="373"/>
      <c r="E2" s="462" t="s">
        <v>4257</v>
      </c>
    </row>
    <row r="3" spans="1:12">
      <c r="A3" s="369"/>
      <c r="B3" s="1" t="s">
        <v>4295</v>
      </c>
      <c r="C3" s="1" t="s">
        <v>4294</v>
      </c>
      <c r="D3" s="1" t="s">
        <v>3906</v>
      </c>
      <c r="E3" s="424"/>
    </row>
    <row r="4" spans="1:12">
      <c r="A4" s="2" t="s">
        <v>1366</v>
      </c>
      <c r="B4" s="2">
        <v>2</v>
      </c>
      <c r="C4" s="2">
        <v>3</v>
      </c>
      <c r="D4" s="2">
        <v>13</v>
      </c>
      <c r="E4" s="7">
        <f>SUM(B4:D4)</f>
        <v>18</v>
      </c>
    </row>
    <row r="5" spans="1:12">
      <c r="A5" s="2" t="s">
        <v>4292</v>
      </c>
      <c r="B5" s="2">
        <v>8</v>
      </c>
      <c r="C5" s="2">
        <v>10</v>
      </c>
      <c r="D5" s="2">
        <v>7</v>
      </c>
      <c r="E5" s="7">
        <f t="shared" ref="E5:E9" si="0">SUM(B5:D5)</f>
        <v>25</v>
      </c>
    </row>
    <row r="6" spans="1:12">
      <c r="A6" s="2" t="s">
        <v>3978</v>
      </c>
      <c r="B6" s="2">
        <v>15</v>
      </c>
      <c r="C6" s="2">
        <v>12</v>
      </c>
      <c r="D6" s="2">
        <v>4</v>
      </c>
      <c r="E6" s="7">
        <f t="shared" si="0"/>
        <v>31</v>
      </c>
    </row>
    <row r="7" spans="1:12">
      <c r="A7" s="2" t="s">
        <v>4293</v>
      </c>
      <c r="B7" s="2">
        <v>11</v>
      </c>
      <c r="C7" s="2">
        <v>9</v>
      </c>
      <c r="D7" s="2">
        <v>3</v>
      </c>
      <c r="E7" s="7">
        <f t="shared" si="0"/>
        <v>23</v>
      </c>
    </row>
    <row r="8" spans="1:12">
      <c r="A8" s="2" t="s">
        <v>1364</v>
      </c>
      <c r="B8" s="2">
        <v>1</v>
      </c>
      <c r="C8" s="2">
        <v>1</v>
      </c>
      <c r="D8" s="2">
        <v>1</v>
      </c>
      <c r="E8" s="7">
        <f t="shared" si="0"/>
        <v>3</v>
      </c>
    </row>
    <row r="9" spans="1:12">
      <c r="A9" s="1" t="s">
        <v>4257</v>
      </c>
      <c r="B9" s="7">
        <f>SUM(B4:B8)</f>
        <v>37</v>
      </c>
      <c r="C9" s="7">
        <f>SUM(C4:C8)</f>
        <v>35</v>
      </c>
      <c r="D9" s="7">
        <f>SUM(D4:D8)</f>
        <v>28</v>
      </c>
      <c r="E9" s="7">
        <f t="shared" si="0"/>
        <v>100</v>
      </c>
    </row>
    <row r="10" spans="1:12" ht="7.5" customHeight="1"/>
    <row r="11" spans="1:12" ht="16.2">
      <c r="A11" s="155"/>
      <c r="B11" s="369" t="s">
        <v>4282</v>
      </c>
      <c r="C11" s="369"/>
      <c r="D11" s="369"/>
      <c r="F11" s="368" t="s">
        <v>4258</v>
      </c>
      <c r="G11" s="368"/>
      <c r="H11" s="368"/>
      <c r="I11" s="368"/>
      <c r="K11" s="1" t="s">
        <v>4300</v>
      </c>
      <c r="L11" s="47">
        <f>SUM(G14:I18)</f>
        <v>24.361958131242847</v>
      </c>
    </row>
    <row r="12" spans="1:12" ht="28.8">
      <c r="A12" s="369" t="s">
        <v>4298</v>
      </c>
      <c r="B12" s="371" t="s">
        <v>4299</v>
      </c>
      <c r="C12" s="372"/>
      <c r="D12" s="373"/>
      <c r="F12" s="369" t="s">
        <v>4298</v>
      </c>
      <c r="G12" s="371" t="s">
        <v>4299</v>
      </c>
      <c r="H12" s="372"/>
      <c r="I12" s="373"/>
      <c r="K12" s="8" t="s">
        <v>4268</v>
      </c>
      <c r="L12" s="47">
        <f>(5-1)*(3-1)</f>
        <v>8</v>
      </c>
    </row>
    <row r="13" spans="1:12">
      <c r="A13" s="369"/>
      <c r="B13" s="1" t="s">
        <v>4295</v>
      </c>
      <c r="C13" s="1" t="s">
        <v>4294</v>
      </c>
      <c r="D13" s="1" t="s">
        <v>3906</v>
      </c>
      <c r="F13" s="369"/>
      <c r="G13" s="1" t="s">
        <v>4295</v>
      </c>
      <c r="H13" s="1" t="s">
        <v>4294</v>
      </c>
      <c r="I13" s="1" t="s">
        <v>3906</v>
      </c>
      <c r="K13" s="1" t="s">
        <v>4283</v>
      </c>
      <c r="L13" s="47">
        <f>_xlfn.CHISQ.INV.RT(0.05,L12)</f>
        <v>15.507313055865453</v>
      </c>
    </row>
    <row r="14" spans="1:12">
      <c r="A14" s="2" t="s">
        <v>1366</v>
      </c>
      <c r="B14" s="7">
        <f>$B$9*E4/$E$9</f>
        <v>6.66</v>
      </c>
      <c r="C14" s="7">
        <f>$C$9*E4/$E$9</f>
        <v>6.3</v>
      </c>
      <c r="D14" s="7">
        <f>$D$9*E4/$E$9</f>
        <v>5.04</v>
      </c>
      <c r="F14" s="2" t="s">
        <v>1366</v>
      </c>
      <c r="G14" s="7">
        <f>((B4-B14)^2)/B14</f>
        <v>3.260600600600601</v>
      </c>
      <c r="H14" s="7">
        <f t="shared" ref="H14:I18" si="1">((C4-C14)^2)/C14</f>
        <v>1.7285714285714284</v>
      </c>
      <c r="I14" s="7">
        <f t="shared" si="1"/>
        <v>12.571746031746033</v>
      </c>
      <c r="K14" s="1" t="s">
        <v>4253</v>
      </c>
      <c r="L14" s="47">
        <f>_xlfn.CHISQ.TEST(B4:D8,B14:D18)</f>
        <v>1.9923588777253217E-3</v>
      </c>
    </row>
    <row r="15" spans="1:12">
      <c r="A15" s="2" t="s">
        <v>4292</v>
      </c>
      <c r="B15" s="7">
        <f t="shared" ref="B15:B18" si="2">$B$9*E5/$E$9</f>
        <v>9.25</v>
      </c>
      <c r="C15" s="7">
        <f t="shared" ref="C15:C18" si="3">$C$9*E5/$E$9</f>
        <v>8.75</v>
      </c>
      <c r="D15" s="7">
        <f t="shared" ref="D15:D18" si="4">$D$9*E5/$E$9</f>
        <v>7</v>
      </c>
      <c r="F15" s="2" t="s">
        <v>4292</v>
      </c>
      <c r="G15" s="7">
        <f t="shared" ref="G15:G18" si="5">((B5-B15)^2)/B15</f>
        <v>0.16891891891891891</v>
      </c>
      <c r="H15" s="7">
        <f t="shared" si="1"/>
        <v>0.17857142857142858</v>
      </c>
      <c r="I15" s="7">
        <f t="shared" si="1"/>
        <v>0</v>
      </c>
    </row>
    <row r="16" spans="1:12">
      <c r="A16" s="2" t="s">
        <v>3978</v>
      </c>
      <c r="B16" s="7">
        <f t="shared" si="2"/>
        <v>11.47</v>
      </c>
      <c r="C16" s="7">
        <f t="shared" si="3"/>
        <v>10.85</v>
      </c>
      <c r="D16" s="7">
        <f t="shared" si="4"/>
        <v>8.68</v>
      </c>
      <c r="F16" s="2" t="s">
        <v>3978</v>
      </c>
      <c r="G16" s="7">
        <f t="shared" si="5"/>
        <v>1.0863905841325192</v>
      </c>
      <c r="H16" s="7">
        <f t="shared" si="1"/>
        <v>0.12188940092165908</v>
      </c>
      <c r="I16" s="7">
        <f t="shared" si="1"/>
        <v>2.5233179723502301</v>
      </c>
    </row>
    <row r="17" spans="1:9">
      <c r="A17" s="2" t="s">
        <v>4293</v>
      </c>
      <c r="B17" s="7">
        <f t="shared" si="2"/>
        <v>8.51</v>
      </c>
      <c r="C17" s="7">
        <f t="shared" si="3"/>
        <v>8.0500000000000007</v>
      </c>
      <c r="D17" s="7">
        <f t="shared" si="4"/>
        <v>6.44</v>
      </c>
      <c r="F17" s="2" t="s">
        <v>4293</v>
      </c>
      <c r="G17" s="7">
        <f t="shared" si="5"/>
        <v>0.72856639247943611</v>
      </c>
      <c r="H17" s="7">
        <f t="shared" si="1"/>
        <v>0.11211180124223584</v>
      </c>
      <c r="I17" s="7">
        <f t="shared" si="1"/>
        <v>1.8375155279503108</v>
      </c>
    </row>
    <row r="18" spans="1:9">
      <c r="A18" s="2" t="s">
        <v>1364</v>
      </c>
      <c r="B18" s="7">
        <f t="shared" si="2"/>
        <v>1.1100000000000001</v>
      </c>
      <c r="C18" s="7">
        <f t="shared" si="3"/>
        <v>1.05</v>
      </c>
      <c r="D18" s="7">
        <f t="shared" si="4"/>
        <v>0.84</v>
      </c>
      <c r="F18" s="2" t="s">
        <v>1364</v>
      </c>
      <c r="G18" s="7">
        <f t="shared" si="5"/>
        <v>1.090090090090092E-2</v>
      </c>
      <c r="H18" s="7">
        <f t="shared" si="1"/>
        <v>2.3809523809523851E-3</v>
      </c>
      <c r="I18" s="7">
        <f t="shared" si="1"/>
        <v>3.047619047619049E-2</v>
      </c>
    </row>
  </sheetData>
  <mergeCells count="10">
    <mergeCell ref="B1:D1"/>
    <mergeCell ref="A12:A13"/>
    <mergeCell ref="B12:D12"/>
    <mergeCell ref="B11:D11"/>
    <mergeCell ref="F12:F13"/>
    <mergeCell ref="G12:I12"/>
    <mergeCell ref="F11:I11"/>
    <mergeCell ref="A2:A3"/>
    <mergeCell ref="E2:E3"/>
    <mergeCell ref="B2:D2"/>
  </mergeCells>
  <pageMargins left="0.7" right="0.7" top="0.75" bottom="0.75" header="0.3" footer="0.3"/>
  <pageSetup orientation="portrait" horizontalDpi="4294967293" verticalDpi="0"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C051-93BB-4191-8EB1-8BF8B9C3E400}">
  <sheetPr codeName="Sheet524"/>
  <dimension ref="A1:D12"/>
  <sheetViews>
    <sheetView workbookViewId="0">
      <selection activeCell="B2" sqref="B2"/>
    </sheetView>
  </sheetViews>
  <sheetFormatPr defaultRowHeight="14.4"/>
  <cols>
    <col min="1" max="1" width="20.6640625" bestFit="1" customWidth="1"/>
    <col min="2" max="3" width="13.109375" customWidth="1"/>
    <col min="4" max="4" width="28.6640625" bestFit="1" customWidth="1"/>
  </cols>
  <sheetData>
    <row r="1" spans="1:4">
      <c r="A1" s="369" t="s">
        <v>32</v>
      </c>
      <c r="B1" s="369" t="s">
        <v>4302</v>
      </c>
      <c r="C1" s="369"/>
      <c r="D1" s="369" t="s">
        <v>4252</v>
      </c>
    </row>
    <row r="2" spans="1:4">
      <c r="A2" s="369"/>
      <c r="B2" s="1" t="s">
        <v>4250</v>
      </c>
      <c r="C2" s="1" t="s">
        <v>4251</v>
      </c>
      <c r="D2" s="369"/>
    </row>
    <row r="3" spans="1:4">
      <c r="A3" s="2" t="s">
        <v>307</v>
      </c>
      <c r="B3" s="2">
        <v>70</v>
      </c>
      <c r="C3" s="2">
        <v>100</v>
      </c>
      <c r="D3" s="7">
        <f>((B3-C3)^2)/C3</f>
        <v>9</v>
      </c>
    </row>
    <row r="4" spans="1:4">
      <c r="A4" s="2" t="s">
        <v>308</v>
      </c>
      <c r="B4" s="2">
        <v>90</v>
      </c>
      <c r="C4" s="2">
        <v>100</v>
      </c>
      <c r="D4" s="7">
        <f t="shared" ref="D4:D7" si="0">((B4-C4)^2)/C4</f>
        <v>1</v>
      </c>
    </row>
    <row r="5" spans="1:4">
      <c r="A5" s="2" t="s">
        <v>309</v>
      </c>
      <c r="B5" s="2">
        <v>95</v>
      </c>
      <c r="C5" s="2">
        <v>100</v>
      </c>
      <c r="D5" s="7">
        <f t="shared" si="0"/>
        <v>0.25</v>
      </c>
    </row>
    <row r="6" spans="1:4">
      <c r="A6" s="2" t="s">
        <v>310</v>
      </c>
      <c r="B6" s="2">
        <v>80</v>
      </c>
      <c r="C6" s="2">
        <v>100</v>
      </c>
      <c r="D6" s="7">
        <f t="shared" si="0"/>
        <v>4</v>
      </c>
    </row>
    <row r="7" spans="1:4">
      <c r="A7" s="2" t="s">
        <v>51</v>
      </c>
      <c r="B7" s="2">
        <v>85</v>
      </c>
      <c r="C7" s="2">
        <v>100</v>
      </c>
      <c r="D7" s="7">
        <f t="shared" si="0"/>
        <v>2.25</v>
      </c>
    </row>
    <row r="8" spans="1:4">
      <c r="A8" s="14"/>
      <c r="B8" s="14"/>
      <c r="C8" s="14"/>
      <c r="D8" s="14"/>
    </row>
    <row r="10" spans="1:4" ht="16.2">
      <c r="A10" s="1" t="s">
        <v>4301</v>
      </c>
      <c r="B10" s="7">
        <f>SUM(D3:D7)</f>
        <v>16.5</v>
      </c>
    </row>
    <row r="11" spans="1:4">
      <c r="A11" s="1" t="s">
        <v>4254</v>
      </c>
      <c r="B11" s="7">
        <f>(5-1)</f>
        <v>4</v>
      </c>
    </row>
    <row r="12" spans="1:4">
      <c r="A12" s="1" t="s">
        <v>4253</v>
      </c>
      <c r="B12" s="7">
        <f>_xlfn.CHISQ.DIST.RT(B10,B11)</f>
        <v>2.4166416550404249E-3</v>
      </c>
    </row>
  </sheetData>
  <mergeCells count="3">
    <mergeCell ref="A1:A2"/>
    <mergeCell ref="B1:C1"/>
    <mergeCell ref="D1:D2"/>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772F-B39F-4E5C-927B-FF97F82B8A4A}">
  <sheetPr codeName="Sheet525"/>
  <dimension ref="A1:C7"/>
  <sheetViews>
    <sheetView workbookViewId="0">
      <selection activeCell="B2" sqref="B2"/>
    </sheetView>
  </sheetViews>
  <sheetFormatPr defaultRowHeight="14.4"/>
  <cols>
    <col min="2" max="2" width="22" bestFit="1" customWidth="1"/>
    <col min="3" max="3" width="27.109375" bestFit="1" customWidth="1"/>
  </cols>
  <sheetData>
    <row r="1" spans="1:3">
      <c r="A1" s="1" t="s">
        <v>606</v>
      </c>
      <c r="B1" s="1" t="s">
        <v>4303</v>
      </c>
      <c r="C1" s="1" t="s">
        <v>4329</v>
      </c>
    </row>
    <row r="2" spans="1:3">
      <c r="A2" s="2">
        <v>100</v>
      </c>
      <c r="B2" s="7" t="b">
        <f>ISEVEN(A2)</f>
        <v>1</v>
      </c>
      <c r="C2" s="55" t="s">
        <v>4330</v>
      </c>
    </row>
    <row r="3" spans="1:3">
      <c r="A3" s="2">
        <v>25</v>
      </c>
      <c r="B3" s="7" t="b">
        <f t="shared" ref="B3:B7" si="0">ISEVEN(A3)</f>
        <v>0</v>
      </c>
      <c r="C3" s="55" t="s">
        <v>4331</v>
      </c>
    </row>
    <row r="4" spans="1:3">
      <c r="A4" s="2">
        <v>-34</v>
      </c>
      <c r="B4" s="7" t="b">
        <f t="shared" si="0"/>
        <v>1</v>
      </c>
      <c r="C4" s="55" t="s">
        <v>4332</v>
      </c>
    </row>
    <row r="5" spans="1:3">
      <c r="A5" s="2">
        <v>0</v>
      </c>
      <c r="B5" s="7" t="b">
        <f t="shared" si="0"/>
        <v>1</v>
      </c>
      <c r="C5" s="55" t="s">
        <v>4333</v>
      </c>
    </row>
    <row r="6" spans="1:3">
      <c r="A6" s="2">
        <v>2.2530000000000001</v>
      </c>
      <c r="B6" s="7" t="b">
        <f t="shared" si="0"/>
        <v>1</v>
      </c>
      <c r="C6" s="55" t="s">
        <v>4334</v>
      </c>
    </row>
    <row r="7" spans="1:3">
      <c r="A7" s="114">
        <v>0.1111111111111111</v>
      </c>
      <c r="B7" s="7" t="b">
        <f t="shared" si="0"/>
        <v>1</v>
      </c>
      <c r="C7" s="55" t="s">
        <v>4335</v>
      </c>
    </row>
  </sheetData>
  <pageMargins left="0.7" right="0.7" top="0.75" bottom="0.75" header="0.3" footer="0.3"/>
  <pageSetup orientation="portrait" horizontalDpi="4294967293" verticalDpi="0"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0B03-CA20-4DF1-B3AE-92C8DEEA6252}">
  <sheetPr codeName="Sheet526"/>
  <dimension ref="A1:C8"/>
  <sheetViews>
    <sheetView workbookViewId="0">
      <selection activeCell="B2" sqref="B2"/>
    </sheetView>
  </sheetViews>
  <sheetFormatPr defaultRowHeight="14.4"/>
  <cols>
    <col min="1" max="1" width="9.44140625" customWidth="1"/>
    <col min="2" max="2" width="41" bestFit="1" customWidth="1"/>
    <col min="3" max="3" width="22" bestFit="1" customWidth="1"/>
  </cols>
  <sheetData>
    <row r="1" spans="1:3">
      <c r="A1" s="1" t="s">
        <v>606</v>
      </c>
      <c r="B1" s="1" t="s">
        <v>4238</v>
      </c>
      <c r="C1" s="1" t="s">
        <v>4303</v>
      </c>
    </row>
    <row r="2" spans="1:3">
      <c r="A2" s="2">
        <v>28</v>
      </c>
      <c r="B2" s="2" t="s">
        <v>4304</v>
      </c>
      <c r="C2" s="7" t="b">
        <f>ISEVEN(A2)</f>
        <v>1</v>
      </c>
    </row>
    <row r="3" spans="1:3">
      <c r="A3" s="2"/>
      <c r="B3" s="2" t="s">
        <v>3889</v>
      </c>
      <c r="C3" s="7" t="b">
        <f t="shared" ref="C3:C8" si="0">ISEVEN(A3)</f>
        <v>1</v>
      </c>
    </row>
    <row r="4" spans="1:3">
      <c r="A4" s="20">
        <v>44867</v>
      </c>
      <c r="B4" s="20" t="s">
        <v>4305</v>
      </c>
      <c r="C4" s="7" t="b">
        <f t="shared" si="0"/>
        <v>0</v>
      </c>
    </row>
    <row r="5" spans="1:3">
      <c r="A5" s="2">
        <v>3.58</v>
      </c>
      <c r="B5" s="2" t="s">
        <v>4306</v>
      </c>
      <c r="C5" s="7" t="b">
        <f t="shared" si="0"/>
        <v>0</v>
      </c>
    </row>
    <row r="6" spans="1:3">
      <c r="A6" s="2">
        <v>254.19</v>
      </c>
      <c r="B6" s="2" t="s">
        <v>4306</v>
      </c>
      <c r="C6" s="7" t="b">
        <f t="shared" si="0"/>
        <v>1</v>
      </c>
    </row>
    <row r="7" spans="1:3">
      <c r="A7" s="2">
        <v>-90</v>
      </c>
      <c r="B7" s="2" t="s">
        <v>4307</v>
      </c>
      <c r="C7" s="7" t="b">
        <f t="shared" si="0"/>
        <v>1</v>
      </c>
    </row>
    <row r="8" spans="1:3">
      <c r="A8" s="139">
        <v>50</v>
      </c>
      <c r="B8" s="139" t="s">
        <v>4308</v>
      </c>
      <c r="C8" s="7" t="b">
        <f t="shared" si="0"/>
        <v>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F37B-BA1D-4E5C-88C0-70CA19837937}">
  <sheetPr codeName="Sheet527"/>
  <dimension ref="A1:G6"/>
  <sheetViews>
    <sheetView workbookViewId="0">
      <selection activeCell="B2" sqref="B2"/>
    </sheetView>
  </sheetViews>
  <sheetFormatPr defaultRowHeight="14.4"/>
  <cols>
    <col min="1" max="1" width="11.33203125" bestFit="1" customWidth="1"/>
    <col min="2" max="6" width="10.44140625" bestFit="1" customWidth="1"/>
    <col min="7" max="7" width="47.44140625" bestFit="1" customWidth="1"/>
  </cols>
  <sheetData>
    <row r="1" spans="1:7">
      <c r="A1" s="1" t="s">
        <v>130</v>
      </c>
      <c r="B1" s="1" t="s">
        <v>4309</v>
      </c>
      <c r="C1" s="1" t="s">
        <v>4310</v>
      </c>
      <c r="D1" s="1" t="s">
        <v>4311</v>
      </c>
      <c r="E1" s="1" t="s">
        <v>4313</v>
      </c>
      <c r="F1" s="1" t="s">
        <v>4312</v>
      </c>
      <c r="G1" s="1" t="s">
        <v>4314</v>
      </c>
    </row>
    <row r="2" spans="1:7">
      <c r="A2" s="2" t="s">
        <v>131</v>
      </c>
      <c r="B2" s="2">
        <v>10</v>
      </c>
      <c r="C2" s="2">
        <v>20</v>
      </c>
      <c r="D2" s="2">
        <v>33</v>
      </c>
      <c r="E2" s="2">
        <v>40</v>
      </c>
      <c r="F2" s="2">
        <v>50</v>
      </c>
      <c r="G2" s="7" t="b">
        <f>ISEVEN(SUM(B2:F2))</f>
        <v>0</v>
      </c>
    </row>
    <row r="3" spans="1:7">
      <c r="A3" s="2" t="s">
        <v>132</v>
      </c>
      <c r="B3" s="2">
        <v>50</v>
      </c>
      <c r="C3" s="2">
        <v>23</v>
      </c>
      <c r="D3" s="2">
        <v>22</v>
      </c>
      <c r="E3" s="2">
        <v>45</v>
      </c>
      <c r="F3" s="2">
        <v>32</v>
      </c>
      <c r="G3" s="7" t="b">
        <f t="shared" ref="G3:G6" si="0">ISEVEN(SUM(B3:F3))</f>
        <v>1</v>
      </c>
    </row>
    <row r="4" spans="1:7">
      <c r="A4" s="2" t="s">
        <v>133</v>
      </c>
      <c r="B4" s="2">
        <v>21</v>
      </c>
      <c r="C4" s="2">
        <v>30</v>
      </c>
      <c r="D4" s="2">
        <v>32</v>
      </c>
      <c r="E4" s="2">
        <v>35</v>
      </c>
      <c r="F4" s="2">
        <v>23</v>
      </c>
      <c r="G4" s="7" t="b">
        <f t="shared" si="0"/>
        <v>0</v>
      </c>
    </row>
    <row r="5" spans="1:7">
      <c r="A5" s="2" t="s">
        <v>134</v>
      </c>
      <c r="B5" s="2">
        <v>0</v>
      </c>
      <c r="C5" s="2">
        <v>0</v>
      </c>
      <c r="D5" s="2">
        <v>0</v>
      </c>
      <c r="E5" s="2">
        <v>0</v>
      </c>
      <c r="F5" s="2">
        <v>0</v>
      </c>
      <c r="G5" s="7" t="b">
        <f t="shared" si="0"/>
        <v>1</v>
      </c>
    </row>
    <row r="6" spans="1:7">
      <c r="A6" s="2" t="s">
        <v>135</v>
      </c>
      <c r="B6" s="2">
        <v>35</v>
      </c>
      <c r="C6" s="2">
        <v>33</v>
      </c>
      <c r="D6" s="2">
        <v>40</v>
      </c>
      <c r="E6" s="2">
        <v>42</v>
      </c>
      <c r="F6" s="2">
        <v>44</v>
      </c>
      <c r="G6" s="7" t="b">
        <f t="shared" si="0"/>
        <v>1</v>
      </c>
    </row>
  </sheetData>
  <pageMargins left="0.7" right="0.7" top="0.75" bottom="0.75" header="0.3" footer="0.3"/>
  <pageSetup orientation="portrait" horizontalDpi="4294967293" verticalDpi="0" r:id="rId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8053-D7AC-4716-ADB9-D04BAF0892ED}">
  <sheetPr codeName="Sheet528"/>
  <dimension ref="A1:C11"/>
  <sheetViews>
    <sheetView workbookViewId="0">
      <selection activeCell="B2" sqref="B2"/>
    </sheetView>
  </sheetViews>
  <sheetFormatPr defaultRowHeight="14.4"/>
  <cols>
    <col min="1" max="1" width="11.33203125" bestFit="1" customWidth="1"/>
    <col min="2" max="2" width="16.33203125" bestFit="1" customWidth="1"/>
    <col min="3" max="3" width="58.109375" bestFit="1" customWidth="1"/>
  </cols>
  <sheetData>
    <row r="1" spans="1:3">
      <c r="A1" s="1" t="s">
        <v>156</v>
      </c>
      <c r="B1" s="1" t="s">
        <v>155</v>
      </c>
      <c r="C1" s="1" t="s">
        <v>4315</v>
      </c>
    </row>
    <row r="2" spans="1:3">
      <c r="A2" s="2">
        <v>1348</v>
      </c>
      <c r="B2" s="2" t="s">
        <v>4316</v>
      </c>
      <c r="C2" s="7" t="str">
        <f>IF(ISEVEN(A2),"Team A","Team B")</f>
        <v>Team A</v>
      </c>
    </row>
    <row r="3" spans="1:3">
      <c r="A3" s="2">
        <v>1429</v>
      </c>
      <c r="B3" s="2" t="s">
        <v>4317</v>
      </c>
      <c r="C3" s="7" t="str">
        <f t="shared" ref="C3:C11" si="0">IF(ISEVEN(A3),"Team A","Team B")</f>
        <v>Team B</v>
      </c>
    </row>
    <row r="4" spans="1:3">
      <c r="A4" s="2">
        <v>1950</v>
      </c>
      <c r="B4" s="2" t="s">
        <v>4318</v>
      </c>
      <c r="C4" s="7" t="str">
        <f t="shared" si="0"/>
        <v>Team A</v>
      </c>
    </row>
    <row r="5" spans="1:3">
      <c r="A5" s="2">
        <v>1953</v>
      </c>
      <c r="B5" s="2" t="s">
        <v>4319</v>
      </c>
      <c r="C5" s="7" t="str">
        <f t="shared" si="0"/>
        <v>Team B</v>
      </c>
    </row>
    <row r="6" spans="1:3">
      <c r="A6" s="2">
        <v>1322</v>
      </c>
      <c r="B6" s="2" t="s">
        <v>4320</v>
      </c>
      <c r="C6" s="7" t="str">
        <f t="shared" si="0"/>
        <v>Team A</v>
      </c>
    </row>
    <row r="7" spans="1:3">
      <c r="A7" s="2">
        <v>1520</v>
      </c>
      <c r="B7" s="2" t="s">
        <v>4321</v>
      </c>
      <c r="C7" s="7" t="str">
        <f t="shared" si="0"/>
        <v>Team A</v>
      </c>
    </row>
    <row r="8" spans="1:3">
      <c r="A8" s="2">
        <v>1673</v>
      </c>
      <c r="B8" s="2" t="s">
        <v>4322</v>
      </c>
      <c r="C8" s="7" t="str">
        <f t="shared" si="0"/>
        <v>Team B</v>
      </c>
    </row>
    <row r="9" spans="1:3">
      <c r="A9" s="2">
        <v>1855</v>
      </c>
      <c r="B9" s="2" t="s">
        <v>4323</v>
      </c>
      <c r="C9" s="7" t="str">
        <f t="shared" si="0"/>
        <v>Team B</v>
      </c>
    </row>
    <row r="10" spans="1:3">
      <c r="A10" s="2">
        <v>1926</v>
      </c>
      <c r="B10" s="2" t="s">
        <v>4324</v>
      </c>
      <c r="C10" s="7" t="str">
        <f t="shared" si="0"/>
        <v>Team A</v>
      </c>
    </row>
    <row r="11" spans="1:3">
      <c r="A11" s="2">
        <v>1739</v>
      </c>
      <c r="B11" s="2" t="s">
        <v>4325</v>
      </c>
      <c r="C11" s="7" t="str">
        <f t="shared" si="0"/>
        <v>Team B</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D1E-2889-4FCA-A19F-16CA183687A0}">
  <sheetPr codeName="Sheet529"/>
  <dimension ref="A1:B12"/>
  <sheetViews>
    <sheetView workbookViewId="0">
      <selection activeCell="B2" sqref="B2"/>
    </sheetView>
  </sheetViews>
  <sheetFormatPr defaultRowHeight="14.4"/>
  <cols>
    <col min="1" max="1" width="30.33203125" bestFit="1" customWidth="1"/>
    <col min="2" max="2" width="11.5546875" customWidth="1"/>
  </cols>
  <sheetData>
    <row r="1" spans="1:2">
      <c r="A1" s="400" t="s">
        <v>4328</v>
      </c>
      <c r="B1" s="368"/>
    </row>
    <row r="2" spans="1:2">
      <c r="A2" s="1" t="s">
        <v>201</v>
      </c>
      <c r="B2" s="1" t="s">
        <v>2039</v>
      </c>
    </row>
    <row r="3" spans="1:2">
      <c r="A3" s="2" t="s">
        <v>3649</v>
      </c>
      <c r="B3" s="2" t="s">
        <v>3472</v>
      </c>
    </row>
    <row r="4" spans="1:2">
      <c r="A4" s="2" t="s">
        <v>3919</v>
      </c>
      <c r="B4" s="2" t="s">
        <v>75</v>
      </c>
    </row>
    <row r="5" spans="1:2">
      <c r="A5" s="2" t="s">
        <v>3650</v>
      </c>
      <c r="B5" s="2" t="s">
        <v>3472</v>
      </c>
    </row>
    <row r="6" spans="1:2">
      <c r="A6" s="2" t="s">
        <v>1464</v>
      </c>
      <c r="B6" s="2" t="s">
        <v>75</v>
      </c>
    </row>
    <row r="7" spans="1:2">
      <c r="A7" s="2" t="s">
        <v>3651</v>
      </c>
      <c r="B7" s="2" t="s">
        <v>3472</v>
      </c>
    </row>
    <row r="8" spans="1:2">
      <c r="A8" s="2" t="s">
        <v>4326</v>
      </c>
      <c r="B8" s="2" t="s">
        <v>75</v>
      </c>
    </row>
    <row r="9" spans="1:2">
      <c r="A9" s="2" t="s">
        <v>3653</v>
      </c>
      <c r="B9" s="2" t="s">
        <v>3472</v>
      </c>
    </row>
    <row r="10" spans="1:2">
      <c r="A10" s="2" t="s">
        <v>4327</v>
      </c>
      <c r="B10" s="2" t="s">
        <v>75</v>
      </c>
    </row>
    <row r="11" spans="1:2">
      <c r="A11" s="2" t="s">
        <v>3654</v>
      </c>
      <c r="B11" s="2" t="s">
        <v>3472</v>
      </c>
    </row>
    <row r="12" spans="1:2">
      <c r="A12" s="2" t="s">
        <v>3924</v>
      </c>
      <c r="B12" s="2" t="s">
        <v>75</v>
      </c>
    </row>
  </sheetData>
  <mergeCells count="1">
    <mergeCell ref="A1:B1"/>
  </mergeCells>
  <conditionalFormatting sqref="A3:B12">
    <cfRule type="expression" dxfId="1" priority="1">
      <formula>ISEVEN(ROW(A3))</formula>
    </cfRule>
  </conditionalFormatting>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DE05-C15B-4D19-B100-B3E0CFAE1752}">
  <sheetPr codeName="Sheet530"/>
  <dimension ref="A1:B6"/>
  <sheetViews>
    <sheetView workbookViewId="0"/>
  </sheetViews>
  <sheetFormatPr defaultRowHeight="14.4"/>
  <cols>
    <col min="2" max="2" width="22" bestFit="1" customWidth="1"/>
  </cols>
  <sheetData>
    <row r="1" spans="1:2">
      <c r="A1" s="1" t="s">
        <v>153</v>
      </c>
      <c r="B1" s="1" t="s">
        <v>4303</v>
      </c>
    </row>
    <row r="2" spans="1:2">
      <c r="A2" s="2">
        <v>24</v>
      </c>
      <c r="B2" s="7" t="b">
        <v>1</v>
      </c>
    </row>
    <row r="3" spans="1:2">
      <c r="A3" s="284">
        <v>0.62011173184357538</v>
      </c>
      <c r="B3" s="7" t="b">
        <v>1</v>
      </c>
    </row>
    <row r="4" spans="1:2">
      <c r="A4" s="2">
        <v>33</v>
      </c>
      <c r="B4" s="7" t="b">
        <v>0</v>
      </c>
    </row>
    <row r="5" spans="1:2">
      <c r="A5" s="2">
        <v>-44</v>
      </c>
      <c r="B5" s="7" t="b">
        <v>1</v>
      </c>
    </row>
    <row r="6" spans="1:2">
      <c r="A6" s="139">
        <v>1231</v>
      </c>
      <c r="B6" s="7" t="b">
        <v>0</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9BF1-FE63-4575-B214-EE8BED206CF7}">
  <sheetPr codeName="Sheet531"/>
  <dimension ref="A1:C7"/>
  <sheetViews>
    <sheetView workbookViewId="0">
      <selection activeCell="B2" sqref="B2"/>
    </sheetView>
  </sheetViews>
  <sheetFormatPr defaultRowHeight="14.4"/>
  <cols>
    <col min="2" max="2" width="21.5546875" bestFit="1" customWidth="1"/>
    <col min="3" max="3" width="26.5546875" bestFit="1" customWidth="1"/>
  </cols>
  <sheetData>
    <row r="1" spans="1:3">
      <c r="A1" s="1" t="s">
        <v>606</v>
      </c>
      <c r="B1" s="1" t="s">
        <v>4336</v>
      </c>
      <c r="C1" s="1" t="s">
        <v>1145</v>
      </c>
    </row>
    <row r="2" spans="1:3">
      <c r="A2" s="2">
        <v>109</v>
      </c>
      <c r="B2" s="7" t="b">
        <f>ISODD(A2)</f>
        <v>1</v>
      </c>
      <c r="C2" s="65" t="s">
        <v>4337</v>
      </c>
    </row>
    <row r="3" spans="1:3">
      <c r="A3" s="2">
        <v>-23</v>
      </c>
      <c r="B3" s="7" t="b">
        <f t="shared" ref="B3:B7" si="0">ISODD(A3)</f>
        <v>1</v>
      </c>
      <c r="C3" s="65" t="s">
        <v>4338</v>
      </c>
    </row>
    <row r="4" spans="1:3">
      <c r="A4" s="2">
        <v>44</v>
      </c>
      <c r="B4" s="7" t="b">
        <f t="shared" si="0"/>
        <v>0</v>
      </c>
      <c r="C4" s="65" t="s">
        <v>4339</v>
      </c>
    </row>
    <row r="5" spans="1:3">
      <c r="A5" s="2">
        <v>0</v>
      </c>
      <c r="B5" s="7" t="b">
        <f t="shared" si="0"/>
        <v>0</v>
      </c>
      <c r="C5" s="65" t="s">
        <v>4340</v>
      </c>
    </row>
    <row r="6" spans="1:3">
      <c r="A6" s="2">
        <v>3.2</v>
      </c>
      <c r="B6" s="7" t="b">
        <f t="shared" si="0"/>
        <v>1</v>
      </c>
      <c r="C6" s="65" t="s">
        <v>4341</v>
      </c>
    </row>
    <row r="7" spans="1:3">
      <c r="A7" s="285">
        <v>0.45454545454545453</v>
      </c>
      <c r="B7" s="7" t="b">
        <f t="shared" si="0"/>
        <v>0</v>
      </c>
      <c r="C7" s="65" t="s">
        <v>4342</v>
      </c>
    </row>
  </sheetData>
  <pageMargins left="0.7" right="0.7" top="0.75" bottom="0.75" header="0.3" footer="0.3"/>
  <pageSetup orientation="portrait" horizontalDpi="4294967293" verticalDpi="0"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1970-0F2E-424E-8EDB-6A33C5DDB346}">
  <sheetPr codeName="Sheet532"/>
  <dimension ref="A1:C8"/>
  <sheetViews>
    <sheetView workbookViewId="0">
      <selection activeCell="B2" sqref="B2"/>
    </sheetView>
  </sheetViews>
  <sheetFormatPr defaultRowHeight="14.4"/>
  <cols>
    <col min="1" max="1" width="9.44140625" bestFit="1" customWidth="1"/>
    <col min="2" max="2" width="38.6640625" bestFit="1" customWidth="1"/>
    <col min="3" max="3" width="21.5546875" bestFit="1" customWidth="1"/>
  </cols>
  <sheetData>
    <row r="1" spans="1:3">
      <c r="A1" s="1" t="s">
        <v>606</v>
      </c>
      <c r="B1" s="1" t="s">
        <v>4238</v>
      </c>
      <c r="C1" s="1" t="s">
        <v>4336</v>
      </c>
    </row>
    <row r="2" spans="1:3">
      <c r="A2" s="2">
        <v>23</v>
      </c>
      <c r="B2" s="2" t="s">
        <v>4343</v>
      </c>
      <c r="C2" s="7" t="b">
        <f>ISODD(A2)</f>
        <v>1</v>
      </c>
    </row>
    <row r="3" spans="1:3">
      <c r="A3" s="2">
        <v>-100</v>
      </c>
      <c r="B3" s="2" t="s">
        <v>4307</v>
      </c>
      <c r="C3" s="7" t="b">
        <f t="shared" ref="C3:C7" si="0">ISODD(A3)</f>
        <v>0</v>
      </c>
    </row>
    <row r="4" spans="1:3">
      <c r="A4" s="2">
        <v>7.92</v>
      </c>
      <c r="B4" s="2" t="s">
        <v>4306</v>
      </c>
      <c r="C4" s="7" t="b">
        <f t="shared" si="0"/>
        <v>1</v>
      </c>
    </row>
    <row r="5" spans="1:3">
      <c r="A5" s="2">
        <v>10.53</v>
      </c>
      <c r="B5" s="2" t="s">
        <v>4306</v>
      </c>
      <c r="C5" s="7" t="b">
        <f t="shared" si="0"/>
        <v>0</v>
      </c>
    </row>
    <row r="6" spans="1:3">
      <c r="A6" s="20">
        <v>44897</v>
      </c>
      <c r="B6" s="2" t="s">
        <v>4344</v>
      </c>
      <c r="C6" s="7" t="b">
        <f t="shared" si="0"/>
        <v>1</v>
      </c>
    </row>
    <row r="7" spans="1:3">
      <c r="A7" s="2"/>
      <c r="B7" s="2" t="s">
        <v>4345</v>
      </c>
      <c r="C7" s="7" t="b">
        <f t="shared" si="0"/>
        <v>0</v>
      </c>
    </row>
    <row r="8" spans="1:3">
      <c r="A8" s="139">
        <v>2450502</v>
      </c>
      <c r="B8" s="2" t="s">
        <v>4346</v>
      </c>
      <c r="C8" s="7" t="b">
        <f>ISODD(A8)</f>
        <v>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817-2C80-47F0-89E4-5120A55CED66}">
  <sheetPr codeName="Sheet533"/>
  <dimension ref="A1:F6"/>
  <sheetViews>
    <sheetView workbookViewId="0">
      <selection activeCell="B2" sqref="B2"/>
    </sheetView>
  </sheetViews>
  <sheetFormatPr defaultRowHeight="14.4"/>
  <cols>
    <col min="1" max="1" width="7.109375" bestFit="1" customWidth="1"/>
    <col min="2" max="5" width="14.5546875" bestFit="1" customWidth="1"/>
    <col min="6" max="6" width="48.6640625" bestFit="1" customWidth="1"/>
  </cols>
  <sheetData>
    <row r="1" spans="1:6">
      <c r="A1" s="1" t="s">
        <v>354</v>
      </c>
      <c r="B1" s="1" t="s">
        <v>4347</v>
      </c>
      <c r="C1" s="1" t="s">
        <v>4348</v>
      </c>
      <c r="D1" s="1" t="s">
        <v>4349</v>
      </c>
      <c r="E1" s="1" t="s">
        <v>4350</v>
      </c>
      <c r="F1" s="1" t="s">
        <v>4351</v>
      </c>
    </row>
    <row r="2" spans="1:6">
      <c r="A2" s="2" t="s">
        <v>340</v>
      </c>
      <c r="B2" s="2">
        <v>250</v>
      </c>
      <c r="C2" s="2">
        <v>100</v>
      </c>
      <c r="D2" s="2">
        <v>200</v>
      </c>
      <c r="E2" s="2">
        <v>90</v>
      </c>
      <c r="F2" s="145" t="b">
        <f>ISODD(SUM(B2:E2)/100)</f>
        <v>0</v>
      </c>
    </row>
    <row r="3" spans="1:6">
      <c r="A3" s="2" t="s">
        <v>342</v>
      </c>
      <c r="B3" s="2">
        <v>245</v>
      </c>
      <c r="C3" s="2">
        <v>260</v>
      </c>
      <c r="D3" s="2">
        <v>300</v>
      </c>
      <c r="E3" s="2">
        <v>100</v>
      </c>
      <c r="F3" s="145" t="b">
        <f t="shared" ref="F3:F6" si="0">ISODD(SUM(B3:E3)/100)</f>
        <v>1</v>
      </c>
    </row>
    <row r="4" spans="1:6">
      <c r="A4" s="2" t="s">
        <v>343</v>
      </c>
      <c r="B4" s="2">
        <v>210</v>
      </c>
      <c r="C4" s="2">
        <v>150</v>
      </c>
      <c r="D4" s="2">
        <v>155</v>
      </c>
      <c r="E4" s="2">
        <v>110</v>
      </c>
      <c r="F4" s="145" t="b">
        <f t="shared" si="0"/>
        <v>0</v>
      </c>
    </row>
    <row r="5" spans="1:6">
      <c r="A5" s="2" t="s">
        <v>346</v>
      </c>
      <c r="B5" s="2">
        <v>90</v>
      </c>
      <c r="C5" s="2">
        <v>100</v>
      </c>
      <c r="D5" s="2">
        <v>135</v>
      </c>
      <c r="E5" s="2">
        <v>210</v>
      </c>
      <c r="F5" s="145" t="b">
        <f t="shared" si="0"/>
        <v>1</v>
      </c>
    </row>
    <row r="6" spans="1:6">
      <c r="A6" s="2" t="s">
        <v>341</v>
      </c>
      <c r="B6" s="2">
        <v>105</v>
      </c>
      <c r="C6" s="2">
        <v>148</v>
      </c>
      <c r="D6" s="2">
        <v>150</v>
      </c>
      <c r="E6" s="2">
        <v>100</v>
      </c>
      <c r="F6" s="145" t="b">
        <f t="shared" si="0"/>
        <v>1</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9B10-32DC-424C-90DD-3CA0B517F80E}">
  <sheetPr codeName="Sheet534"/>
  <dimension ref="A1:B6"/>
  <sheetViews>
    <sheetView workbookViewId="0">
      <selection activeCell="B2" sqref="B2"/>
    </sheetView>
  </sheetViews>
  <sheetFormatPr defaultRowHeight="14.4"/>
  <cols>
    <col min="2" max="2" width="34.88671875" bestFit="1" customWidth="1"/>
  </cols>
  <sheetData>
    <row r="1" spans="1:2">
      <c r="A1" s="1" t="s">
        <v>153</v>
      </c>
      <c r="B1" s="1" t="s">
        <v>4352</v>
      </c>
    </row>
    <row r="2" spans="1:2">
      <c r="A2" s="2">
        <v>10</v>
      </c>
      <c r="B2" s="7" t="str">
        <f>IF(ISODD(MOD(A2,2)),"Odd Remainder","Even Remainder")</f>
        <v>Even Remainder</v>
      </c>
    </row>
    <row r="3" spans="1:2">
      <c r="A3" s="2">
        <v>13</v>
      </c>
      <c r="B3" s="7" t="str">
        <f t="shared" ref="B3:B6" si="0">IF(ISODD(MOD(A3,2)),"Odd Remainder","Even Remainder")</f>
        <v>Odd Remainder</v>
      </c>
    </row>
    <row r="4" spans="1:2">
      <c r="A4" s="2">
        <v>295</v>
      </c>
      <c r="B4" s="7" t="str">
        <f t="shared" si="0"/>
        <v>Odd Remainder</v>
      </c>
    </row>
    <row r="5" spans="1:2">
      <c r="A5" s="2">
        <v>1002</v>
      </c>
      <c r="B5" s="7" t="str">
        <f t="shared" si="0"/>
        <v>Even Remainder</v>
      </c>
    </row>
    <row r="6" spans="1:2">
      <c r="A6" s="2">
        <v>-1559</v>
      </c>
      <c r="B6" s="7" t="str">
        <f t="shared" si="0"/>
        <v>Odd Remainder</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BEEA-3759-4A63-839C-692A320241B2}">
  <sheetPr codeName="Sheet535"/>
  <dimension ref="A1:F9"/>
  <sheetViews>
    <sheetView workbookViewId="0">
      <selection activeCell="B2" sqref="B2"/>
    </sheetView>
  </sheetViews>
  <sheetFormatPr defaultRowHeight="14.4"/>
  <cols>
    <col min="1" max="1" width="32.88671875" bestFit="1" customWidth="1"/>
    <col min="2" max="4" width="7.88671875" bestFit="1" customWidth="1"/>
    <col min="5" max="5" width="8" bestFit="1" customWidth="1"/>
    <col min="6" max="6" width="7.6640625" bestFit="1" customWidth="1"/>
  </cols>
  <sheetData>
    <row r="1" spans="1:6">
      <c r="B1" s="400" t="s">
        <v>4359</v>
      </c>
      <c r="C1" s="368"/>
      <c r="D1" s="368"/>
      <c r="E1" s="368"/>
      <c r="F1" s="368"/>
    </row>
    <row r="2" spans="1:6">
      <c r="A2" s="1" t="s">
        <v>3472</v>
      </c>
      <c r="B2" s="1" t="s">
        <v>4353</v>
      </c>
      <c r="C2" s="1" t="s">
        <v>4354</v>
      </c>
      <c r="D2" s="1" t="s">
        <v>4355</v>
      </c>
      <c r="E2" s="1" t="s">
        <v>4356</v>
      </c>
      <c r="F2" s="1" t="s">
        <v>4357</v>
      </c>
    </row>
    <row r="3" spans="1:6">
      <c r="A3" s="56" t="s">
        <v>3656</v>
      </c>
      <c r="B3" s="2">
        <v>105</v>
      </c>
      <c r="C3" s="2">
        <v>100</v>
      </c>
      <c r="D3" s="2">
        <v>91</v>
      </c>
      <c r="E3" s="2">
        <v>101</v>
      </c>
      <c r="F3" s="2">
        <v>85</v>
      </c>
    </row>
    <row r="4" spans="1:6">
      <c r="A4" s="56" t="s">
        <v>3534</v>
      </c>
      <c r="B4" s="2">
        <v>99</v>
      </c>
      <c r="C4" s="2">
        <v>85</v>
      </c>
      <c r="D4" s="2">
        <v>105</v>
      </c>
      <c r="E4" s="2">
        <v>110</v>
      </c>
      <c r="F4" s="2">
        <v>120</v>
      </c>
    </row>
    <row r="5" spans="1:6">
      <c r="A5" s="56" t="s">
        <v>3658</v>
      </c>
      <c r="B5" s="2">
        <v>130</v>
      </c>
      <c r="C5" s="2">
        <v>145</v>
      </c>
      <c r="D5" s="2">
        <v>195</v>
      </c>
      <c r="E5" s="2">
        <v>200</v>
      </c>
      <c r="F5" s="2">
        <v>210</v>
      </c>
    </row>
    <row r="6" spans="1:6">
      <c r="A6" s="35" t="s">
        <v>4360</v>
      </c>
      <c r="B6" s="2">
        <v>103</v>
      </c>
      <c r="C6" s="2">
        <v>94</v>
      </c>
      <c r="D6" s="2">
        <v>90</v>
      </c>
      <c r="E6" s="2">
        <v>88</v>
      </c>
      <c r="F6" s="2">
        <v>115</v>
      </c>
    </row>
    <row r="7" spans="1:6">
      <c r="A7" s="35" t="s">
        <v>4361</v>
      </c>
      <c r="B7" s="2">
        <v>100</v>
      </c>
      <c r="C7" s="2">
        <v>111</v>
      </c>
      <c r="D7" s="2">
        <v>86</v>
      </c>
      <c r="E7" s="2">
        <v>75</v>
      </c>
      <c r="F7" s="2">
        <v>50</v>
      </c>
    </row>
    <row r="8" spans="1:6">
      <c r="A8" s="35" t="s">
        <v>4362</v>
      </c>
      <c r="B8" s="2">
        <v>155</v>
      </c>
      <c r="C8" s="2">
        <v>210</v>
      </c>
      <c r="D8" s="2">
        <v>190</v>
      </c>
      <c r="E8" s="2">
        <v>194</v>
      </c>
      <c r="F8" s="2">
        <v>183</v>
      </c>
    </row>
    <row r="9" spans="1:6">
      <c r="A9" s="35" t="s">
        <v>4358</v>
      </c>
      <c r="B9" s="2">
        <v>107</v>
      </c>
      <c r="C9" s="2">
        <v>123</v>
      </c>
      <c r="D9" s="2">
        <v>98</v>
      </c>
      <c r="E9" s="2">
        <v>91</v>
      </c>
      <c r="F9" s="2">
        <v>109</v>
      </c>
    </row>
  </sheetData>
  <mergeCells count="1">
    <mergeCell ref="B1:F1"/>
  </mergeCells>
  <conditionalFormatting sqref="B3:F9">
    <cfRule type="expression" dxfId="0" priority="1">
      <formula>ISODD(B3)</formula>
    </cfRule>
  </conditionalFormatting>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7D29-1F7D-4735-BFB1-FE0FCCFB8AD9}">
  <sheetPr codeName="Sheet536"/>
  <dimension ref="A1:F9"/>
  <sheetViews>
    <sheetView workbookViewId="0">
      <selection activeCell="B2" sqref="B2"/>
    </sheetView>
  </sheetViews>
  <sheetFormatPr defaultRowHeight="14.4"/>
  <cols>
    <col min="1" max="1" width="32.88671875" bestFit="1" customWidth="1"/>
    <col min="2" max="4" width="7.88671875" bestFit="1" customWidth="1"/>
    <col min="5" max="5" width="8" bestFit="1" customWidth="1"/>
    <col min="6" max="6" width="7.6640625" bestFit="1" customWidth="1"/>
  </cols>
  <sheetData>
    <row r="1" spans="1:6">
      <c r="B1" s="400" t="s">
        <v>4359</v>
      </c>
      <c r="C1" s="368"/>
      <c r="D1" s="368"/>
      <c r="E1" s="368"/>
      <c r="F1" s="368"/>
    </row>
    <row r="2" spans="1:6">
      <c r="A2" s="1" t="s">
        <v>3472</v>
      </c>
      <c r="B2" s="1" t="s">
        <v>4353</v>
      </c>
      <c r="C2" s="1" t="s">
        <v>4354</v>
      </c>
      <c r="D2" s="1" t="s">
        <v>4355</v>
      </c>
      <c r="E2" s="1" t="s">
        <v>4356</v>
      </c>
      <c r="F2" s="1" t="s">
        <v>4357</v>
      </c>
    </row>
    <row r="3" spans="1:6">
      <c r="A3" s="56" t="s">
        <v>3656</v>
      </c>
      <c r="B3" s="255">
        <v>105</v>
      </c>
      <c r="C3" s="255">
        <v>100</v>
      </c>
      <c r="D3" s="255">
        <v>91</v>
      </c>
      <c r="E3" s="255">
        <v>101</v>
      </c>
      <c r="F3" s="255">
        <v>85</v>
      </c>
    </row>
    <row r="4" spans="1:6">
      <c r="A4" s="56" t="s">
        <v>3534</v>
      </c>
      <c r="B4" s="255">
        <v>99</v>
      </c>
      <c r="C4" s="255">
        <v>85</v>
      </c>
      <c r="D4" s="255">
        <v>105</v>
      </c>
      <c r="E4" s="255">
        <v>110</v>
      </c>
      <c r="F4" s="255">
        <v>120</v>
      </c>
    </row>
    <row r="5" spans="1:6">
      <c r="A5" s="56" t="s">
        <v>3658</v>
      </c>
      <c r="B5" s="255">
        <v>130</v>
      </c>
      <c r="C5" s="255">
        <v>145</v>
      </c>
      <c r="D5" s="255">
        <v>195</v>
      </c>
      <c r="E5" s="255">
        <v>200</v>
      </c>
      <c r="F5" s="255">
        <v>210</v>
      </c>
    </row>
    <row r="6" spans="1:6">
      <c r="A6" s="35" t="s">
        <v>4360</v>
      </c>
      <c r="B6" s="255">
        <v>103</v>
      </c>
      <c r="C6" s="255">
        <v>94</v>
      </c>
      <c r="D6" s="255">
        <v>90</v>
      </c>
      <c r="E6" s="255">
        <v>88</v>
      </c>
      <c r="F6" s="255">
        <v>115</v>
      </c>
    </row>
    <row r="7" spans="1:6">
      <c r="A7" s="35" t="s">
        <v>4361</v>
      </c>
      <c r="B7" s="255">
        <v>100</v>
      </c>
      <c r="C7" s="255">
        <v>111</v>
      </c>
      <c r="D7" s="255">
        <v>86</v>
      </c>
      <c r="E7" s="255">
        <v>75</v>
      </c>
      <c r="F7" s="255">
        <v>50</v>
      </c>
    </row>
    <row r="8" spans="1:6">
      <c r="A8" s="35" t="s">
        <v>4362</v>
      </c>
      <c r="B8" s="255">
        <v>155</v>
      </c>
      <c r="C8" s="255">
        <v>210</v>
      </c>
      <c r="D8" s="255">
        <v>190</v>
      </c>
      <c r="E8" s="255">
        <v>194</v>
      </c>
      <c r="F8" s="255">
        <v>183</v>
      </c>
    </row>
    <row r="9" spans="1:6">
      <c r="A9" s="35" t="s">
        <v>4358</v>
      </c>
      <c r="B9" s="255">
        <v>107</v>
      </c>
      <c r="C9" s="255">
        <v>123</v>
      </c>
      <c r="D9" s="255">
        <v>98</v>
      </c>
      <c r="E9" s="255">
        <v>91</v>
      </c>
      <c r="F9" s="255">
        <v>109</v>
      </c>
    </row>
  </sheetData>
  <mergeCells count="1">
    <mergeCell ref="B1:F1"/>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503DE-DABB-40EE-B16C-00971886ACF9}">
  <sheetPr codeName="Sheet537"/>
  <dimension ref="A1:Q13"/>
  <sheetViews>
    <sheetView workbookViewId="0"/>
  </sheetViews>
  <sheetFormatPr defaultRowHeight="14.4"/>
  <cols>
    <col min="1" max="1" width="9.109375" bestFit="1" customWidth="1"/>
    <col min="2" max="2" width="21.5546875" bestFit="1" customWidth="1"/>
  </cols>
  <sheetData>
    <row r="1" spans="1:17">
      <c r="A1" s="1" t="s">
        <v>1727</v>
      </c>
      <c r="B1" s="1" t="s">
        <v>4336</v>
      </c>
    </row>
    <row r="2" spans="1:17">
      <c r="A2" s="2">
        <v>50</v>
      </c>
      <c r="B2" s="7" t="b">
        <v>0</v>
      </c>
    </row>
    <row r="3" spans="1:17">
      <c r="A3" s="2">
        <v>-151</v>
      </c>
      <c r="B3" s="7" t="b">
        <v>1</v>
      </c>
    </row>
    <row r="4" spans="1:17">
      <c r="A4" s="284">
        <v>1.1100000000000001</v>
      </c>
      <c r="B4" s="7" t="b">
        <v>1</v>
      </c>
    </row>
    <row r="5" spans="1:17">
      <c r="A5" s="82">
        <v>2.0699999999999998</v>
      </c>
      <c r="B5" s="7" t="b">
        <v>0</v>
      </c>
    </row>
    <row r="6" spans="1:17">
      <c r="A6" s="83">
        <v>109</v>
      </c>
      <c r="B6" s="7" t="b">
        <v>1</v>
      </c>
    </row>
    <row r="9" spans="1:17">
      <c r="Q9" t="b">
        <v>0</v>
      </c>
    </row>
    <row r="10" spans="1:17">
      <c r="Q10" t="b">
        <v>1</v>
      </c>
    </row>
    <row r="11" spans="1:17">
      <c r="Q11" t="b">
        <v>1</v>
      </c>
    </row>
    <row r="12" spans="1:17">
      <c r="Q12" t="b">
        <v>0</v>
      </c>
    </row>
    <row r="13" spans="1:17">
      <c r="Q13" t="b">
        <v>1</v>
      </c>
    </row>
  </sheetData>
  <pageMargins left="0.7" right="0.7" top="0.75" bottom="0.75" header="0.3" footer="0.3"/>
  <pageSetup orientation="portrait" horizontalDpi="4294967293" verticalDpi="0"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83D-7F42-41BF-87E6-C870B499D3B6}">
  <sheetPr codeName="Sheet538"/>
  <dimension ref="A1:B10"/>
  <sheetViews>
    <sheetView workbookViewId="0">
      <selection activeCell="B10" sqref="B10"/>
    </sheetView>
  </sheetViews>
  <sheetFormatPr defaultRowHeight="14.4"/>
  <cols>
    <col min="1" max="1" width="20.88671875" bestFit="1" customWidth="1"/>
    <col min="2" max="2" width="11.6640625" customWidth="1"/>
  </cols>
  <sheetData>
    <row r="1" spans="1:2">
      <c r="A1" s="1" t="s">
        <v>622</v>
      </c>
      <c r="B1" s="1" t="s">
        <v>4363</v>
      </c>
    </row>
    <row r="2" spans="1:2">
      <c r="A2" s="2" t="s">
        <v>4364</v>
      </c>
      <c r="B2" s="53">
        <v>-75000</v>
      </c>
    </row>
    <row r="3" spans="1:2">
      <c r="A3" s="2" t="s">
        <v>4365</v>
      </c>
      <c r="B3" s="53">
        <v>10000</v>
      </c>
    </row>
    <row r="4" spans="1:2">
      <c r="A4" s="2" t="s">
        <v>4366</v>
      </c>
      <c r="B4" s="53">
        <v>15000</v>
      </c>
    </row>
    <row r="5" spans="1:2">
      <c r="A5" s="2" t="s">
        <v>4367</v>
      </c>
      <c r="B5" s="53">
        <v>20000</v>
      </c>
    </row>
    <row r="6" spans="1:2">
      <c r="A6" s="2" t="s">
        <v>4369</v>
      </c>
      <c r="B6" s="53">
        <v>25000</v>
      </c>
    </row>
    <row r="7" spans="1:2">
      <c r="A7" s="2" t="s">
        <v>4368</v>
      </c>
      <c r="B7" s="53">
        <v>30000</v>
      </c>
    </row>
    <row r="10" spans="1:2" ht="28.8">
      <c r="A10" s="8" t="s">
        <v>4370</v>
      </c>
      <c r="B10" s="286">
        <f>IRR(B2:B7)</f>
        <v>8.7613728169275484E-2</v>
      </c>
    </row>
  </sheetData>
  <pageMargins left="0.7" right="0.7" top="0.75" bottom="0.75" header="0.3" footer="0.3"/>
  <pageSetup orientation="portrait" horizontalDpi="4294967293" verticalDpi="0"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834B-623B-499D-AA5A-A650E4EBDE58}">
  <sheetPr codeName="Sheet539"/>
  <dimension ref="A1:B10"/>
  <sheetViews>
    <sheetView workbookViewId="0">
      <selection activeCell="B10" sqref="B10"/>
    </sheetView>
  </sheetViews>
  <sheetFormatPr defaultRowHeight="14.4"/>
  <cols>
    <col min="1" max="1" width="20.88671875" bestFit="1" customWidth="1"/>
    <col min="2" max="2" width="13" bestFit="1" customWidth="1"/>
  </cols>
  <sheetData>
    <row r="1" spans="1:2">
      <c r="A1" s="1" t="s">
        <v>622</v>
      </c>
      <c r="B1" s="1" t="s">
        <v>4363</v>
      </c>
    </row>
    <row r="2" spans="1:2">
      <c r="A2" s="2" t="s">
        <v>2461</v>
      </c>
      <c r="B2" s="53">
        <v>-200000</v>
      </c>
    </row>
    <row r="3" spans="1:2">
      <c r="A3" s="2" t="s">
        <v>4365</v>
      </c>
      <c r="B3" s="53">
        <v>20000</v>
      </c>
    </row>
    <row r="4" spans="1:2">
      <c r="A4" s="2" t="s">
        <v>4366</v>
      </c>
      <c r="B4" s="53">
        <v>30000</v>
      </c>
    </row>
    <row r="5" spans="1:2">
      <c r="A5" s="2" t="s">
        <v>4367</v>
      </c>
      <c r="B5" s="53">
        <v>40000</v>
      </c>
    </row>
    <row r="6" spans="1:2">
      <c r="A6" s="2" t="s">
        <v>4369</v>
      </c>
      <c r="B6" s="53">
        <v>50000</v>
      </c>
    </row>
    <row r="7" spans="1:2">
      <c r="A7" s="2" t="s">
        <v>4368</v>
      </c>
      <c r="B7" s="53">
        <v>60000</v>
      </c>
    </row>
    <row r="8" spans="1:2">
      <c r="A8" s="2" t="s">
        <v>4371</v>
      </c>
      <c r="B8" s="53">
        <v>70000</v>
      </c>
    </row>
    <row r="10" spans="1:2" ht="28.8">
      <c r="A10" s="8" t="s">
        <v>4372</v>
      </c>
      <c r="B10" s="286">
        <f>IRR(B2:B8)</f>
        <v>7.6832635448185416E-2</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BA57-883B-474A-8753-151C14554769}">
  <sheetPr codeName="Sheet540"/>
  <dimension ref="A1:E8"/>
  <sheetViews>
    <sheetView workbookViewId="0">
      <selection activeCell="B10" sqref="B10"/>
    </sheetView>
  </sheetViews>
  <sheetFormatPr defaultRowHeight="14.4"/>
  <cols>
    <col min="1" max="1" width="16.6640625" bestFit="1" customWidth="1"/>
    <col min="2" max="2" width="11.44140625" bestFit="1" customWidth="1"/>
    <col min="4" max="4" width="20.5546875" bestFit="1" customWidth="1"/>
    <col min="5" max="5" width="10" customWidth="1"/>
  </cols>
  <sheetData>
    <row r="1" spans="1:5">
      <c r="A1" s="1" t="s">
        <v>622</v>
      </c>
      <c r="B1" s="1" t="s">
        <v>4363</v>
      </c>
      <c r="D1" s="1" t="s">
        <v>4374</v>
      </c>
      <c r="E1" s="1" t="s">
        <v>4375</v>
      </c>
    </row>
    <row r="2" spans="1:5">
      <c r="A2" s="2" t="s">
        <v>2461</v>
      </c>
      <c r="B2" s="53">
        <v>-25000</v>
      </c>
      <c r="D2" s="2" t="s">
        <v>4380</v>
      </c>
      <c r="E2" s="88">
        <f>IRR($B$2:B3)</f>
        <v>-0.8</v>
      </c>
    </row>
    <row r="3" spans="1:5">
      <c r="A3" s="2" t="s">
        <v>4365</v>
      </c>
      <c r="B3" s="53">
        <v>5000</v>
      </c>
      <c r="D3" s="2" t="s">
        <v>4373</v>
      </c>
      <c r="E3" s="88">
        <f>IRR($B$2:B4)</f>
        <v>-0.3999999999999706</v>
      </c>
    </row>
    <row r="4" spans="1:5">
      <c r="A4" s="2" t="s">
        <v>4366</v>
      </c>
      <c r="B4" s="53">
        <v>6000</v>
      </c>
      <c r="D4" s="2" t="s">
        <v>4376</v>
      </c>
      <c r="E4" s="88">
        <f>IRR($B$2:B5)</f>
        <v>-0.14106354961150325</v>
      </c>
    </row>
    <row r="5" spans="1:5">
      <c r="A5" s="2" t="s">
        <v>4367</v>
      </c>
      <c r="B5" s="53">
        <v>7000</v>
      </c>
      <c r="D5" s="2" t="s">
        <v>4377</v>
      </c>
      <c r="E5" s="88">
        <f>IRR($B$2:B6)</f>
        <v>1.472321083242556E-2</v>
      </c>
    </row>
    <row r="6" spans="1:5">
      <c r="A6" s="2" t="s">
        <v>4369</v>
      </c>
      <c r="B6" s="53">
        <v>8000</v>
      </c>
      <c r="D6" s="2" t="s">
        <v>4378</v>
      </c>
      <c r="E6" s="88">
        <f>IRR($B$2:B7)</f>
        <v>0.11148915288621253</v>
      </c>
    </row>
    <row r="7" spans="1:5">
      <c r="A7" s="2" t="s">
        <v>4368</v>
      </c>
      <c r="B7" s="53">
        <v>9000</v>
      </c>
      <c r="D7" s="2" t="s">
        <v>4379</v>
      </c>
      <c r="E7" s="88">
        <f>IRR($B$2:B8)</f>
        <v>0.17406158783987968</v>
      </c>
    </row>
    <row r="8" spans="1:5">
      <c r="A8" s="2" t="s">
        <v>4371</v>
      </c>
      <c r="B8" s="53">
        <v>10000</v>
      </c>
    </row>
  </sheetData>
  <pageMargins left="0.7" right="0.7" top="0.75" bottom="0.75" header="0.3" footer="0.3"/>
  <ignoredErrors>
    <ignoredError sqref="E2:E6" formulaRange="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5E35-05A3-4346-9A30-776AA03C9571}">
  <sheetPr codeName="Sheet541"/>
  <dimension ref="A1:D9"/>
  <sheetViews>
    <sheetView workbookViewId="0">
      <selection activeCell="B10" sqref="B10"/>
    </sheetView>
  </sheetViews>
  <sheetFormatPr defaultRowHeight="14.4"/>
  <cols>
    <col min="1" max="1" width="16.6640625" bestFit="1" customWidth="1"/>
    <col min="2" max="2" width="11.109375" bestFit="1" customWidth="1"/>
    <col min="3" max="4" width="10.44140625" bestFit="1" customWidth="1"/>
  </cols>
  <sheetData>
    <row r="1" spans="1:4">
      <c r="A1" s="1" t="s">
        <v>622</v>
      </c>
      <c r="B1" s="1" t="s">
        <v>4381</v>
      </c>
      <c r="C1" s="1" t="s">
        <v>4382</v>
      </c>
      <c r="D1" s="1" t="s">
        <v>4383</v>
      </c>
    </row>
    <row r="2" spans="1:4">
      <c r="A2" s="2" t="s">
        <v>2461</v>
      </c>
      <c r="B2" s="53">
        <v>-20000</v>
      </c>
      <c r="C2" s="53">
        <v>-20000</v>
      </c>
      <c r="D2" s="53">
        <v>-20000</v>
      </c>
    </row>
    <row r="3" spans="1:4">
      <c r="A3" s="2" t="s">
        <v>4365</v>
      </c>
      <c r="B3" s="53">
        <v>3000</v>
      </c>
      <c r="C3" s="53">
        <v>3500</v>
      </c>
      <c r="D3" s="53">
        <v>4000</v>
      </c>
    </row>
    <row r="4" spans="1:4">
      <c r="A4" s="2" t="s">
        <v>4366</v>
      </c>
      <c r="B4" s="53">
        <v>5000</v>
      </c>
      <c r="C4" s="53">
        <v>5100</v>
      </c>
      <c r="D4" s="53">
        <v>4800</v>
      </c>
    </row>
    <row r="5" spans="1:4">
      <c r="A5" s="2" t="s">
        <v>4367</v>
      </c>
      <c r="B5" s="53">
        <v>6800</v>
      </c>
      <c r="C5" s="53">
        <v>6000</v>
      </c>
      <c r="D5" s="53">
        <v>5500</v>
      </c>
    </row>
    <row r="6" spans="1:4">
      <c r="A6" s="2" t="s">
        <v>4369</v>
      </c>
      <c r="B6" s="53">
        <v>4000</v>
      </c>
      <c r="C6" s="53">
        <v>4500</v>
      </c>
      <c r="D6" s="53">
        <v>4100</v>
      </c>
    </row>
    <row r="7" spans="1:4">
      <c r="A7" s="2" t="s">
        <v>4368</v>
      </c>
      <c r="B7" s="53">
        <v>8000</v>
      </c>
      <c r="C7" s="53">
        <v>8500</v>
      </c>
      <c r="D7" s="53">
        <v>9500</v>
      </c>
    </row>
    <row r="9" spans="1:4" ht="28.8">
      <c r="A9" s="8" t="s">
        <v>4384</v>
      </c>
      <c r="B9" s="286">
        <f>IRR(B2:B7)</f>
        <v>9.4189067003627169E-2</v>
      </c>
      <c r="C9" s="286">
        <f t="shared" ref="C9:D9" si="0">IRR(C2:C7)</f>
        <v>0.10445490751266417</v>
      </c>
      <c r="D9" s="286">
        <f t="shared" si="0"/>
        <v>0.10751680040992695</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43B-DF98-465E-B9D9-BCC14FF26E85}">
  <sheetPr codeName="Sheet542"/>
  <dimension ref="A1:B10"/>
  <sheetViews>
    <sheetView workbookViewId="0">
      <selection activeCell="B10" sqref="B10"/>
    </sheetView>
  </sheetViews>
  <sheetFormatPr defaultRowHeight="14.4"/>
  <cols>
    <col min="1" max="1" width="17.109375" bestFit="1" customWidth="1"/>
    <col min="2" max="2" width="11.109375" bestFit="1" customWidth="1"/>
  </cols>
  <sheetData>
    <row r="1" spans="1:2">
      <c r="A1" s="1" t="s">
        <v>622</v>
      </c>
      <c r="B1" s="1" t="s">
        <v>4363</v>
      </c>
    </row>
    <row r="2" spans="1:2">
      <c r="A2" s="2" t="s">
        <v>2461</v>
      </c>
      <c r="B2" s="53">
        <v>-10000</v>
      </c>
    </row>
    <row r="3" spans="1:2">
      <c r="A3" s="2" t="s">
        <v>4387</v>
      </c>
      <c r="B3" s="53">
        <v>2500</v>
      </c>
    </row>
    <row r="4" spans="1:2">
      <c r="A4" s="2" t="s">
        <v>4388</v>
      </c>
      <c r="B4" s="53">
        <v>3000</v>
      </c>
    </row>
    <row r="5" spans="1:2">
      <c r="A5" s="2" t="s">
        <v>4389</v>
      </c>
      <c r="B5" s="53">
        <v>4000</v>
      </c>
    </row>
    <row r="6" spans="1:2">
      <c r="A6" s="2" t="s">
        <v>4390</v>
      </c>
      <c r="B6" s="53">
        <v>3500</v>
      </c>
    </row>
    <row r="8" spans="1:2">
      <c r="A8" s="1" t="s">
        <v>4386</v>
      </c>
      <c r="B8" s="82">
        <v>0.1</v>
      </c>
    </row>
    <row r="10" spans="1:2" ht="28.8">
      <c r="A10" s="8" t="s">
        <v>4385</v>
      </c>
      <c r="B10" s="286">
        <f>IRR(B2:B6,B8)</f>
        <v>0.10637555466867754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01A0-D169-4383-AF6D-01F2797EF80E}">
  <sheetPr codeName="Sheet543"/>
  <dimension ref="A1:B11"/>
  <sheetViews>
    <sheetView workbookViewId="0">
      <selection activeCell="B10" sqref="B10"/>
    </sheetView>
  </sheetViews>
  <sheetFormatPr defaultRowHeight="14.4"/>
  <cols>
    <col min="1" max="1" width="17.109375" bestFit="1" customWidth="1"/>
    <col min="2" max="2" width="11.109375" bestFit="1" customWidth="1"/>
  </cols>
  <sheetData>
    <row r="1" spans="1:2">
      <c r="A1" s="1" t="s">
        <v>622</v>
      </c>
      <c r="B1" s="1" t="s">
        <v>4363</v>
      </c>
    </row>
    <row r="2" spans="1:2">
      <c r="A2" s="2" t="s">
        <v>2461</v>
      </c>
      <c r="B2" s="53">
        <v>-10000</v>
      </c>
    </row>
    <row r="3" spans="1:2">
      <c r="A3" s="2" t="s">
        <v>4391</v>
      </c>
      <c r="B3" s="53">
        <v>2500</v>
      </c>
    </row>
    <row r="4" spans="1:2">
      <c r="A4" s="2" t="s">
        <v>4392</v>
      </c>
      <c r="B4" s="53">
        <v>3500</v>
      </c>
    </row>
    <row r="5" spans="1:2">
      <c r="A5" s="2" t="s">
        <v>4393</v>
      </c>
      <c r="B5" s="53">
        <v>1000</v>
      </c>
    </row>
    <row r="6" spans="1:2">
      <c r="A6" s="2" t="s">
        <v>4394</v>
      </c>
      <c r="B6" s="53">
        <v>4000</v>
      </c>
    </row>
    <row r="7" spans="1:2">
      <c r="A7" s="2" t="s">
        <v>4395</v>
      </c>
      <c r="B7" s="53">
        <v>5100</v>
      </c>
    </row>
    <row r="9" spans="1:2">
      <c r="A9" s="1" t="s">
        <v>4386</v>
      </c>
      <c r="B9" s="82">
        <v>0.15</v>
      </c>
    </row>
    <row r="11" spans="1:2" ht="28.8">
      <c r="A11" s="8" t="s">
        <v>4396</v>
      </c>
      <c r="B11" s="286">
        <v>0.16131630933222099</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F551-7037-4F36-BAAD-C9F0E838C252}">
  <sheetPr codeName="Sheet544"/>
  <dimension ref="A1:B10"/>
  <sheetViews>
    <sheetView workbookViewId="0"/>
  </sheetViews>
  <sheetFormatPr defaultRowHeight="14.4"/>
  <cols>
    <col min="1" max="1" width="20.88671875" bestFit="1" customWidth="1"/>
    <col min="2" max="2" width="13" bestFit="1" customWidth="1"/>
  </cols>
  <sheetData>
    <row r="1" spans="1:2">
      <c r="A1" s="1" t="s">
        <v>622</v>
      </c>
      <c r="B1" s="1" t="s">
        <v>4363</v>
      </c>
    </row>
    <row r="2" spans="1:2">
      <c r="A2" s="2" t="s">
        <v>4364</v>
      </c>
      <c r="B2" s="53">
        <v>-1000000</v>
      </c>
    </row>
    <row r="3" spans="1:2">
      <c r="A3" s="2" t="s">
        <v>4365</v>
      </c>
      <c r="B3" s="53">
        <v>80000</v>
      </c>
    </row>
    <row r="4" spans="1:2">
      <c r="A4" s="2" t="s">
        <v>4366</v>
      </c>
      <c r="B4" s="53">
        <v>50000</v>
      </c>
    </row>
    <row r="5" spans="1:2">
      <c r="A5" s="2" t="s">
        <v>4367</v>
      </c>
      <c r="B5" s="53">
        <v>60000</v>
      </c>
    </row>
    <row r="6" spans="1:2">
      <c r="A6" s="2" t="s">
        <v>4369</v>
      </c>
      <c r="B6" s="53">
        <v>70000</v>
      </c>
    </row>
    <row r="7" spans="1:2">
      <c r="A7" s="2" t="s">
        <v>4368</v>
      </c>
      <c r="B7" s="53">
        <v>90000</v>
      </c>
    </row>
    <row r="10" spans="1:2" ht="28.8">
      <c r="A10" s="8" t="s">
        <v>4370</v>
      </c>
      <c r="B10" s="286">
        <f>IRR(B2:B7)</f>
        <v>-0.26267560931695266</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A42A7-0267-4C44-B60B-46BD2BE2EAD6}">
  <sheetPr codeName="Sheet545"/>
  <dimension ref="A1:E6"/>
  <sheetViews>
    <sheetView workbookViewId="0">
      <selection activeCell="D2" sqref="D2"/>
    </sheetView>
  </sheetViews>
  <sheetFormatPr defaultRowHeight="14.4"/>
  <cols>
    <col min="1" max="1" width="9.44140625" bestFit="1" customWidth="1"/>
    <col min="3" max="3" width="33.109375" bestFit="1" customWidth="1"/>
    <col min="4" max="4" width="14.44140625" bestFit="1" customWidth="1"/>
    <col min="5" max="5" width="32.44140625" bestFit="1" customWidth="1"/>
  </cols>
  <sheetData>
    <row r="1" spans="1:5">
      <c r="A1" s="1" t="s">
        <v>9</v>
      </c>
      <c r="B1" s="1" t="s">
        <v>10</v>
      </c>
      <c r="C1" s="1" t="s">
        <v>4398</v>
      </c>
      <c r="D1" s="1" t="s">
        <v>4397</v>
      </c>
      <c r="E1" s="1" t="s">
        <v>1977</v>
      </c>
    </row>
    <row r="2" spans="1:5">
      <c r="A2" s="2">
        <v>50</v>
      </c>
      <c r="B2" s="2">
        <v>10</v>
      </c>
      <c r="C2" s="2" t="s">
        <v>4401</v>
      </c>
      <c r="D2" s="7">
        <f>A2-B2</f>
        <v>40</v>
      </c>
      <c r="E2" s="65" t="s">
        <v>4403</v>
      </c>
    </row>
    <row r="3" spans="1:5">
      <c r="A3" s="82">
        <v>3.4</v>
      </c>
      <c r="B3" s="2">
        <v>210</v>
      </c>
      <c r="C3" s="2" t="s">
        <v>4399</v>
      </c>
      <c r="D3" s="7">
        <f>(A3-B3)+(B3/100)</f>
        <v>-204.5</v>
      </c>
      <c r="E3" s="65" t="s">
        <v>4404</v>
      </c>
    </row>
    <row r="4" spans="1:5">
      <c r="A4" s="2">
        <v>1000</v>
      </c>
      <c r="B4" s="2">
        <v>100</v>
      </c>
      <c r="C4" s="2" t="s">
        <v>4400</v>
      </c>
      <c r="D4" s="7">
        <f>(A4-B4)/B4</f>
        <v>9</v>
      </c>
      <c r="E4" s="65" t="s">
        <v>4405</v>
      </c>
    </row>
    <row r="5" spans="1:5">
      <c r="A5" s="20">
        <v>44581</v>
      </c>
      <c r="B5" s="20">
        <v>44562</v>
      </c>
      <c r="C5" s="2" t="s">
        <v>4407</v>
      </c>
      <c r="D5" s="66">
        <f>A5-B5+A5</f>
        <v>44600</v>
      </c>
      <c r="E5" s="65" t="s">
        <v>4408</v>
      </c>
    </row>
    <row r="6" spans="1:5">
      <c r="A6" s="2">
        <v>19</v>
      </c>
      <c r="B6" s="2">
        <v>44</v>
      </c>
      <c r="C6" s="2" t="s">
        <v>4402</v>
      </c>
      <c r="D6" s="7">
        <f>(A6-B6)*(B6-A6)</f>
        <v>-625</v>
      </c>
      <c r="E6" s="65" t="s">
        <v>4406</v>
      </c>
    </row>
  </sheetData>
  <pageMargins left="0.7" right="0.7" top="0.75" bottom="0.75" header="0.3" footer="0.3"/>
  <pageSetup orientation="portrait" horizontalDpi="4294967293" verticalDpi="0" r:id="rId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E87C-1C2C-4316-9AB7-8C259E9D5619}">
  <sheetPr codeName="Sheet546"/>
  <dimension ref="A1:D7"/>
  <sheetViews>
    <sheetView workbookViewId="0">
      <selection activeCell="D2" sqref="D2"/>
    </sheetView>
  </sheetViews>
  <sheetFormatPr defaultRowHeight="14.4"/>
  <cols>
    <col min="1" max="1" width="6.5546875" bestFit="1" customWidth="1"/>
    <col min="2" max="2" width="15.33203125" bestFit="1" customWidth="1"/>
    <col min="3" max="3" width="16.88671875" bestFit="1" customWidth="1"/>
    <col min="4" max="4" width="15.109375" bestFit="1" customWidth="1"/>
  </cols>
  <sheetData>
    <row r="1" spans="1:4">
      <c r="A1" s="1" t="s">
        <v>32</v>
      </c>
      <c r="B1" s="1" t="s">
        <v>4409</v>
      </c>
      <c r="C1" s="1" t="s">
        <v>87</v>
      </c>
      <c r="D1" s="1" t="s">
        <v>59</v>
      </c>
    </row>
    <row r="2" spans="1:4">
      <c r="A2" s="2" t="s">
        <v>307</v>
      </c>
      <c r="B2" s="53">
        <v>5000</v>
      </c>
      <c r="C2" s="53">
        <v>1000</v>
      </c>
      <c r="D2" s="67">
        <f>5000-1000</f>
        <v>4000</v>
      </c>
    </row>
    <row r="3" spans="1:4">
      <c r="A3" s="2" t="s">
        <v>308</v>
      </c>
      <c r="B3" s="53">
        <v>5500</v>
      </c>
      <c r="C3" s="53">
        <v>1300</v>
      </c>
      <c r="D3" s="67">
        <f t="shared" ref="D3:D7" si="0">B3-C3</f>
        <v>4200</v>
      </c>
    </row>
    <row r="4" spans="1:4">
      <c r="A4" s="2" t="s">
        <v>309</v>
      </c>
      <c r="B4" s="53">
        <v>6000</v>
      </c>
      <c r="C4" s="53">
        <v>2000</v>
      </c>
      <c r="D4" s="67">
        <f t="shared" si="0"/>
        <v>4000</v>
      </c>
    </row>
    <row r="5" spans="1:4">
      <c r="A5" s="2" t="s">
        <v>310</v>
      </c>
      <c r="B5" s="53">
        <v>3500</v>
      </c>
      <c r="C5" s="53">
        <v>4000</v>
      </c>
      <c r="D5" s="67">
        <f t="shared" si="0"/>
        <v>-500</v>
      </c>
    </row>
    <row r="6" spans="1:4">
      <c r="A6" s="2" t="s">
        <v>51</v>
      </c>
      <c r="B6" s="53">
        <v>5900</v>
      </c>
      <c r="C6" s="53">
        <v>5000</v>
      </c>
      <c r="D6" s="67">
        <f t="shared" si="0"/>
        <v>900</v>
      </c>
    </row>
    <row r="7" spans="1:4">
      <c r="A7" s="2" t="s">
        <v>311</v>
      </c>
      <c r="B7" s="53">
        <v>1500</v>
      </c>
      <c r="C7" s="53">
        <v>2100</v>
      </c>
      <c r="D7" s="67">
        <f t="shared" si="0"/>
        <v>-600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F091-2BB2-4507-BCBA-DEB755657C27}">
  <sheetPr codeName="Sheet547"/>
  <dimension ref="A1:B9"/>
  <sheetViews>
    <sheetView workbookViewId="0">
      <selection activeCell="D2" sqref="D2"/>
    </sheetView>
  </sheetViews>
  <sheetFormatPr defaultRowHeight="14.4"/>
  <cols>
    <col min="1" max="1" width="30.5546875" bestFit="1" customWidth="1"/>
    <col min="2" max="2" width="15.88671875" customWidth="1"/>
    <col min="3" max="3" width="8.6640625" customWidth="1"/>
  </cols>
  <sheetData>
    <row r="1" spans="1:2">
      <c r="A1" s="1" t="s">
        <v>4417</v>
      </c>
      <c r="B1" s="7">
        <v>2500</v>
      </c>
    </row>
    <row r="3" spans="1:2">
      <c r="A3" s="1" t="s">
        <v>4410</v>
      </c>
      <c r="B3" s="1" t="s">
        <v>4414</v>
      </c>
    </row>
    <row r="4" spans="1:2">
      <c r="A4" s="2" t="s">
        <v>4411</v>
      </c>
      <c r="B4" s="2">
        <v>1000</v>
      </c>
    </row>
    <row r="5" spans="1:2">
      <c r="A5" s="2" t="s">
        <v>4412</v>
      </c>
      <c r="B5" s="2">
        <v>500</v>
      </c>
    </row>
    <row r="6" spans="1:2">
      <c r="A6" s="2" t="s">
        <v>4413</v>
      </c>
      <c r="B6" s="2">
        <v>700</v>
      </c>
    </row>
    <row r="7" spans="1:2">
      <c r="A7" s="1" t="s">
        <v>4415</v>
      </c>
      <c r="B7" s="7">
        <f>SUM(B4:B6)</f>
        <v>2200</v>
      </c>
    </row>
    <row r="9" spans="1:2">
      <c r="A9" s="1" t="s">
        <v>4416</v>
      </c>
      <c r="B9" s="7">
        <f>B1-SUM(B4:B6)</f>
        <v>300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B6F9-FA65-4424-B528-063C2AECCEA2}">
  <sheetPr codeName="Sheet548"/>
  <dimension ref="A1:G8"/>
  <sheetViews>
    <sheetView workbookViewId="0">
      <selection activeCell="D2" sqref="D2"/>
    </sheetView>
  </sheetViews>
  <sheetFormatPr defaultRowHeight="14.4"/>
  <cols>
    <col min="1" max="1" width="8.6640625" customWidth="1"/>
    <col min="2" max="2" width="15.44140625" bestFit="1" customWidth="1"/>
    <col min="3" max="3" width="14.109375" bestFit="1" customWidth="1"/>
    <col min="4" max="4" width="19.109375" bestFit="1" customWidth="1"/>
    <col min="6" max="6" width="8.6640625" customWidth="1"/>
    <col min="7" max="7" width="37.44140625" customWidth="1"/>
  </cols>
  <sheetData>
    <row r="1" spans="1:7">
      <c r="A1" s="1" t="s">
        <v>130</v>
      </c>
      <c r="B1" s="1" t="s">
        <v>4424</v>
      </c>
      <c r="C1" s="1" t="s">
        <v>4418</v>
      </c>
      <c r="D1" s="1" t="s">
        <v>4425</v>
      </c>
      <c r="F1" s="369" t="s">
        <v>4426</v>
      </c>
      <c r="G1" s="369"/>
    </row>
    <row r="2" spans="1:7">
      <c r="A2" s="2" t="s">
        <v>4419</v>
      </c>
      <c r="B2" s="53">
        <v>1000</v>
      </c>
      <c r="C2" s="53">
        <v>800</v>
      </c>
      <c r="D2" s="67">
        <f>B2-C2</f>
        <v>200</v>
      </c>
      <c r="F2" s="463">
        <v>100</v>
      </c>
      <c r="G2" s="463"/>
    </row>
    <row r="3" spans="1:7">
      <c r="A3" s="2" t="s">
        <v>4420</v>
      </c>
      <c r="B3" s="53">
        <v>2000</v>
      </c>
      <c r="C3" s="53">
        <v>1500</v>
      </c>
      <c r="D3" s="67">
        <f t="shared" ref="D3:D6" si="0">B3-C3</f>
        <v>500</v>
      </c>
      <c r="F3" s="1" t="s">
        <v>130</v>
      </c>
      <c r="G3" s="1" t="s">
        <v>4427</v>
      </c>
    </row>
    <row r="4" spans="1:7">
      <c r="A4" s="2" t="s">
        <v>4421</v>
      </c>
      <c r="B4" s="53">
        <v>1500</v>
      </c>
      <c r="C4" s="53">
        <v>1450</v>
      </c>
      <c r="D4" s="67">
        <f t="shared" si="0"/>
        <v>50</v>
      </c>
      <c r="F4" s="2" t="s">
        <v>4419</v>
      </c>
      <c r="G4" s="67">
        <f>B2-$F$2</f>
        <v>900</v>
      </c>
    </row>
    <row r="5" spans="1:7">
      <c r="A5" s="2" t="s">
        <v>4422</v>
      </c>
      <c r="B5" s="53">
        <v>900</v>
      </c>
      <c r="C5" s="53">
        <v>800</v>
      </c>
      <c r="D5" s="67">
        <f t="shared" si="0"/>
        <v>100</v>
      </c>
      <c r="F5" s="2" t="s">
        <v>4420</v>
      </c>
      <c r="G5" s="67">
        <f t="shared" ref="G5:G8" si="1">B3-$F$2</f>
        <v>1900</v>
      </c>
    </row>
    <row r="6" spans="1:7">
      <c r="A6" s="2" t="s">
        <v>4423</v>
      </c>
      <c r="B6" s="53">
        <v>3000</v>
      </c>
      <c r="C6" s="53">
        <v>2700</v>
      </c>
      <c r="D6" s="67">
        <f t="shared" si="0"/>
        <v>300</v>
      </c>
      <c r="F6" s="2" t="s">
        <v>4421</v>
      </c>
      <c r="G6" s="67">
        <f t="shared" si="1"/>
        <v>1400</v>
      </c>
    </row>
    <row r="7" spans="1:7">
      <c r="F7" s="2" t="s">
        <v>4422</v>
      </c>
      <c r="G7" s="67">
        <f t="shared" si="1"/>
        <v>800</v>
      </c>
    </row>
    <row r="8" spans="1:7">
      <c r="F8" s="2" t="s">
        <v>4423</v>
      </c>
      <c r="G8" s="67">
        <f t="shared" si="1"/>
        <v>2900</v>
      </c>
    </row>
  </sheetData>
  <mergeCells count="2">
    <mergeCell ref="F1:G1"/>
    <mergeCell ref="F2:G2"/>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6418-353B-423E-86C3-C7EEEDF58961}">
  <sheetPr codeName="Sheet549"/>
  <dimension ref="A1:C8"/>
  <sheetViews>
    <sheetView workbookViewId="0">
      <selection activeCell="D2" sqref="D2"/>
    </sheetView>
  </sheetViews>
  <sheetFormatPr defaultRowHeight="14.4"/>
  <cols>
    <col min="1" max="1" width="26.5546875" bestFit="1" customWidth="1"/>
    <col min="2" max="2" width="14.88671875" bestFit="1" customWidth="1"/>
    <col min="3" max="3" width="21.109375" bestFit="1" customWidth="1"/>
  </cols>
  <sheetData>
    <row r="1" spans="1:3">
      <c r="A1" s="1" t="s">
        <v>4430</v>
      </c>
      <c r="B1" s="1" t="s">
        <v>4429</v>
      </c>
      <c r="C1" s="1" t="s">
        <v>4428</v>
      </c>
    </row>
    <row r="2" spans="1:3">
      <c r="A2" s="82">
        <v>0.5</v>
      </c>
      <c r="B2" s="82">
        <v>0.1</v>
      </c>
      <c r="C2" s="88">
        <f>A2-B2</f>
        <v>0.4</v>
      </c>
    </row>
    <row r="4" spans="1:3">
      <c r="A4" s="1" t="s">
        <v>4431</v>
      </c>
      <c r="B4" s="1" t="s">
        <v>4433</v>
      </c>
      <c r="C4" s="1" t="s">
        <v>4432</v>
      </c>
    </row>
    <row r="5" spans="1:3">
      <c r="A5" s="53">
        <v>500</v>
      </c>
      <c r="B5" s="82">
        <v>0.15</v>
      </c>
      <c r="C5" s="67">
        <f>500*(1-15%)</f>
        <v>425</v>
      </c>
    </row>
    <row r="8" spans="1:3">
      <c r="B8" s="105"/>
      <c r="C8" s="143"/>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42BAE-D173-48D0-9A9B-415C8D0291D1}">
  <sheetPr codeName="Sheet550"/>
  <dimension ref="A1:E6"/>
  <sheetViews>
    <sheetView workbookViewId="0">
      <selection activeCell="D2" sqref="D2"/>
    </sheetView>
  </sheetViews>
  <sheetFormatPr defaultRowHeight="14.4"/>
  <cols>
    <col min="1" max="1" width="9.88671875" bestFit="1" customWidth="1"/>
    <col min="2" max="2" width="18.109375" bestFit="1" customWidth="1"/>
    <col min="3" max="3" width="26.109375" bestFit="1" customWidth="1"/>
    <col min="4" max="4" width="28" bestFit="1" customWidth="1"/>
    <col min="5" max="5" width="24" bestFit="1" customWidth="1"/>
  </cols>
  <sheetData>
    <row r="1" spans="1:5">
      <c r="A1" s="1" t="s">
        <v>201</v>
      </c>
      <c r="B1" s="1" t="s">
        <v>4436</v>
      </c>
      <c r="C1" s="1" t="s">
        <v>4438</v>
      </c>
      <c r="D1" s="1" t="s">
        <v>4434</v>
      </c>
    </row>
    <row r="2" spans="1:5">
      <c r="A2" s="2" t="s">
        <v>3534</v>
      </c>
      <c r="B2" s="20">
        <v>44631</v>
      </c>
      <c r="C2" s="20">
        <v>44641</v>
      </c>
      <c r="D2" s="7">
        <f>C2-B2</f>
        <v>10</v>
      </c>
    </row>
    <row r="5" spans="1:5">
      <c r="A5" s="1" t="s">
        <v>201</v>
      </c>
      <c r="B5" s="1" t="s">
        <v>4436</v>
      </c>
      <c r="C5" s="1" t="s">
        <v>4435</v>
      </c>
      <c r="D5" s="1" t="s">
        <v>4437</v>
      </c>
      <c r="E5" s="1" t="s">
        <v>4439</v>
      </c>
    </row>
    <row r="6" spans="1:5">
      <c r="A6" s="2" t="s">
        <v>3534</v>
      </c>
      <c r="B6" s="20">
        <v>44631</v>
      </c>
      <c r="C6" s="20">
        <v>44641</v>
      </c>
      <c r="D6" s="20">
        <v>44635</v>
      </c>
      <c r="E6" s="66">
        <f>DATEVALUE("3/21/2022")-DATEVALUE("3/11/2022")+DATEVALUE("3/15/2022")</f>
        <v>44645</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FB6C4-D4D7-48D0-BAC9-5226615CC851}">
  <sheetPr codeName="Sheet551"/>
  <dimension ref="A1:D6"/>
  <sheetViews>
    <sheetView workbookViewId="0">
      <selection activeCell="D2" sqref="D2"/>
    </sheetView>
  </sheetViews>
  <sheetFormatPr defaultRowHeight="14.4"/>
  <cols>
    <col min="1" max="1" width="10.44140625" bestFit="1" customWidth="1"/>
    <col min="2" max="2" width="11.33203125" bestFit="1" customWidth="1"/>
    <col min="3" max="3" width="11.109375" bestFit="1" customWidth="1"/>
    <col min="4" max="4" width="23.109375" bestFit="1" customWidth="1"/>
  </cols>
  <sheetData>
    <row r="1" spans="1:4">
      <c r="A1" s="1" t="s">
        <v>670</v>
      </c>
      <c r="B1" s="1" t="s">
        <v>4440</v>
      </c>
      <c r="C1" s="1" t="s">
        <v>4441</v>
      </c>
      <c r="D1" s="1" t="s">
        <v>4442</v>
      </c>
    </row>
    <row r="2" spans="1:4">
      <c r="A2" s="20">
        <v>44893</v>
      </c>
      <c r="B2" s="287">
        <v>0.39583333333333331</v>
      </c>
      <c r="C2" s="287">
        <v>0.77083333333333337</v>
      </c>
      <c r="D2" s="80">
        <f>C2-B2</f>
        <v>0.37500000000000006</v>
      </c>
    </row>
    <row r="3" spans="1:4">
      <c r="A3" s="20">
        <v>44894</v>
      </c>
      <c r="B3" s="288">
        <v>0.71875</v>
      </c>
      <c r="C3" s="288">
        <v>0.8125</v>
      </c>
      <c r="D3" s="80">
        <f t="shared" ref="D3:D6" si="0">C3-B3</f>
        <v>9.375E-2</v>
      </c>
    </row>
    <row r="4" spans="1:4">
      <c r="A4" s="20">
        <v>44895</v>
      </c>
      <c r="B4" s="287">
        <v>0.54166666666666663</v>
      </c>
      <c r="C4" s="287">
        <v>0.86458333333333337</v>
      </c>
      <c r="D4" s="80">
        <f t="shared" si="0"/>
        <v>0.32291666666666674</v>
      </c>
    </row>
    <row r="5" spans="1:4">
      <c r="A5" s="20">
        <v>44896</v>
      </c>
      <c r="B5" s="288">
        <v>0.25052083333333336</v>
      </c>
      <c r="C5" s="288">
        <v>0.75758101851851845</v>
      </c>
      <c r="D5" s="80">
        <f t="shared" si="0"/>
        <v>0.50706018518518503</v>
      </c>
    </row>
    <row r="6" spans="1:4">
      <c r="A6" s="20">
        <v>44897</v>
      </c>
      <c r="B6" s="288">
        <v>0.67013888888888884</v>
      </c>
      <c r="C6" s="287">
        <v>0.91666666666666663</v>
      </c>
      <c r="D6" s="80">
        <f t="shared" si="0"/>
        <v>0.24652777777777779</v>
      </c>
    </row>
  </sheetData>
  <pageMargins left="0.7" right="0.7" top="0.75" bottom="0.75" header="0.3" footer="0.3"/>
  <pageSetup orientation="portrait" horizontalDpi="4294967293" verticalDpi="0" r:id="rId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6EE6-ACF5-49A8-AB7A-0F55CBD1C8D9}">
  <sheetPr codeName="Sheet552"/>
  <dimension ref="B1:H9"/>
  <sheetViews>
    <sheetView workbookViewId="0">
      <selection activeCell="D2" sqref="D2"/>
    </sheetView>
  </sheetViews>
  <sheetFormatPr defaultRowHeight="14.4"/>
  <cols>
    <col min="6" max="8" width="10.88671875" customWidth="1"/>
  </cols>
  <sheetData>
    <row r="1" spans="2:8">
      <c r="B1" s="368" t="s">
        <v>4443</v>
      </c>
      <c r="C1" s="368"/>
      <c r="D1" s="368"/>
    </row>
    <row r="2" spans="2:8">
      <c r="B2" s="2">
        <v>5</v>
      </c>
      <c r="C2" s="2">
        <v>10</v>
      </c>
      <c r="D2" s="2">
        <v>15</v>
      </c>
    </row>
    <row r="3" spans="2:8">
      <c r="B3" s="2">
        <v>20</v>
      </c>
      <c r="C3" s="2">
        <v>25</v>
      </c>
      <c r="D3" s="2">
        <v>30</v>
      </c>
      <c r="F3" s="368" t="s">
        <v>4445</v>
      </c>
      <c r="G3" s="368"/>
      <c r="H3" s="368"/>
    </row>
    <row r="4" spans="2:8">
      <c r="B4" s="2">
        <v>35</v>
      </c>
      <c r="C4" s="2">
        <v>40</v>
      </c>
      <c r="D4" s="2">
        <v>45</v>
      </c>
      <c r="F4" s="7">
        <f>B2-B7</f>
        <v>4</v>
      </c>
      <c r="G4" s="7">
        <f t="shared" ref="G4:H6" si="0">C2-C7</f>
        <v>8</v>
      </c>
      <c r="H4" s="7">
        <f t="shared" si="0"/>
        <v>12</v>
      </c>
    </row>
    <row r="5" spans="2:8">
      <c r="F5" s="7">
        <f t="shared" ref="F5:F6" si="1">B3-B8</f>
        <v>-10</v>
      </c>
      <c r="G5" s="7">
        <f t="shared" si="0"/>
        <v>-10</v>
      </c>
      <c r="H5" s="7">
        <f t="shared" si="0"/>
        <v>-10</v>
      </c>
    </row>
    <row r="6" spans="2:8">
      <c r="B6" s="368" t="s">
        <v>4444</v>
      </c>
      <c r="C6" s="368"/>
      <c r="D6" s="368"/>
      <c r="F6" s="7">
        <f t="shared" si="1"/>
        <v>31</v>
      </c>
      <c r="G6" s="7">
        <f t="shared" si="0"/>
        <v>35</v>
      </c>
      <c r="H6" s="7">
        <f t="shared" si="0"/>
        <v>39</v>
      </c>
    </row>
    <row r="7" spans="2:8">
      <c r="B7" s="2">
        <v>1</v>
      </c>
      <c r="C7" s="2">
        <v>2</v>
      </c>
      <c r="D7" s="2">
        <v>3</v>
      </c>
    </row>
    <row r="8" spans="2:8">
      <c r="B8" s="2">
        <v>30</v>
      </c>
      <c r="C8" s="2">
        <v>35</v>
      </c>
      <c r="D8" s="2">
        <v>40</v>
      </c>
    </row>
    <row r="9" spans="2:8">
      <c r="B9" s="2">
        <v>4</v>
      </c>
      <c r="C9" s="2">
        <v>5</v>
      </c>
      <c r="D9" s="2">
        <v>6</v>
      </c>
    </row>
  </sheetData>
  <mergeCells count="3">
    <mergeCell ref="B1:D1"/>
    <mergeCell ref="B6:D6"/>
    <mergeCell ref="F3:H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3EF-C6BB-4D5B-9731-09C44489107B}">
  <sheetPr codeName="Sheet553"/>
  <dimension ref="B1:D5"/>
  <sheetViews>
    <sheetView workbookViewId="0">
      <selection activeCell="D2" sqref="D2"/>
    </sheetView>
  </sheetViews>
  <sheetFormatPr defaultRowHeight="14.4"/>
  <cols>
    <col min="1" max="1" width="8.6640625" customWidth="1"/>
    <col min="2" max="2" width="15.5546875" bestFit="1" customWidth="1"/>
    <col min="3" max="3" width="14.5546875" bestFit="1" customWidth="1"/>
    <col min="4" max="4" width="12.5546875" bestFit="1" customWidth="1"/>
  </cols>
  <sheetData>
    <row r="1" spans="2:4">
      <c r="B1" s="1" t="s">
        <v>240</v>
      </c>
      <c r="C1" s="1" t="s">
        <v>4446</v>
      </c>
      <c r="D1" s="1" t="s">
        <v>4447</v>
      </c>
    </row>
    <row r="2" spans="2:4">
      <c r="B2" s="2" t="s">
        <v>4448</v>
      </c>
      <c r="C2" s="2" t="s">
        <v>4454</v>
      </c>
      <c r="D2" s="7" t="str">
        <f>TRIM(REPLACE(B2,SEARCH(C2,B2),LEN(C2),""))</f>
        <v>Kevin</v>
      </c>
    </row>
    <row r="3" spans="2:4">
      <c r="B3" s="2" t="s">
        <v>4195</v>
      </c>
      <c r="C3" s="2" t="s">
        <v>4453</v>
      </c>
      <c r="D3" s="7" t="str">
        <f t="shared" ref="D3:D5" si="0">TRIM(REPLACE(B3,SEARCH(C3,B3),LEN(C3),""))</f>
        <v>Charles</v>
      </c>
    </row>
    <row r="4" spans="2:4">
      <c r="B4" s="2" t="s">
        <v>4449</v>
      </c>
      <c r="C4" s="2" t="s">
        <v>4451</v>
      </c>
      <c r="D4" s="7" t="str">
        <f t="shared" si="0"/>
        <v>Baron</v>
      </c>
    </row>
    <row r="5" spans="2:4">
      <c r="B5" s="2" t="s">
        <v>4450</v>
      </c>
      <c r="C5" s="2" t="s">
        <v>4452</v>
      </c>
      <c r="D5" s="7" t="str">
        <f t="shared" si="0"/>
        <v>Goodworth</v>
      </c>
    </row>
  </sheetData>
  <pageMargins left="0.7" right="0.7" top="0.75" bottom="0.75" header="0.3" footer="0.3"/>
  <pageSetup orientation="portrait" horizontalDpi="4294967293" verticalDpi="0" r:id="rId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2BC4-257B-46B9-B4B1-2C07ADA5892F}">
  <sheetPr codeName="Sheet554"/>
  <dimension ref="B1:D8"/>
  <sheetViews>
    <sheetView workbookViewId="0">
      <selection activeCell="D2" sqref="D2"/>
    </sheetView>
  </sheetViews>
  <sheetFormatPr defaultRowHeight="14.4"/>
  <cols>
    <col min="2" max="2" width="15.109375" bestFit="1" customWidth="1"/>
    <col min="3" max="3" width="32.109375" bestFit="1" customWidth="1"/>
    <col min="4" max="4" width="42.33203125" bestFit="1" customWidth="1"/>
  </cols>
  <sheetData>
    <row r="1" spans="2:4">
      <c r="B1" s="1" t="s">
        <v>4458</v>
      </c>
      <c r="C1" s="1" t="s">
        <v>4461</v>
      </c>
      <c r="D1" s="1" t="s">
        <v>4462</v>
      </c>
    </row>
    <row r="2" spans="2:4">
      <c r="B2" s="2" t="s">
        <v>4455</v>
      </c>
      <c r="C2" s="2" t="s">
        <v>4459</v>
      </c>
      <c r="D2" s="7" t="str">
        <f>IF(COUNTIF($C:$C,$B2)=0,"Yes","No")</f>
        <v>No</v>
      </c>
    </row>
    <row r="3" spans="2:4">
      <c r="B3" s="2" t="s">
        <v>4456</v>
      </c>
      <c r="C3" s="2" t="s">
        <v>4460</v>
      </c>
      <c r="D3" s="7" t="str">
        <f t="shared" ref="D3:D8" si="0">IF(COUNTIF($C:$C,$B3)=0,"Yes","No")</f>
        <v>Yes</v>
      </c>
    </row>
    <row r="4" spans="2:4">
      <c r="B4" s="2" t="s">
        <v>2012</v>
      </c>
      <c r="C4" s="2" t="s">
        <v>4457</v>
      </c>
      <c r="D4" s="7" t="str">
        <f t="shared" si="0"/>
        <v>Yes</v>
      </c>
    </row>
    <row r="5" spans="2:4">
      <c r="B5" s="2" t="s">
        <v>1334</v>
      </c>
      <c r="C5" s="2" t="s">
        <v>1328</v>
      </c>
      <c r="D5" s="7" t="str">
        <f t="shared" si="0"/>
        <v>Yes</v>
      </c>
    </row>
    <row r="6" spans="2:4">
      <c r="B6" s="2" t="s">
        <v>347</v>
      </c>
      <c r="C6" s="2" t="s">
        <v>4455</v>
      </c>
      <c r="D6" s="7" t="str">
        <f t="shared" si="0"/>
        <v>No</v>
      </c>
    </row>
    <row r="7" spans="2:4">
      <c r="B7" s="2" t="s">
        <v>1328</v>
      </c>
      <c r="C7" s="2" t="s">
        <v>2806</v>
      </c>
      <c r="D7" s="7" t="str">
        <f t="shared" si="0"/>
        <v>No</v>
      </c>
    </row>
    <row r="8" spans="2:4">
      <c r="B8" s="2" t="s">
        <v>4457</v>
      </c>
      <c r="C8" s="2" t="s">
        <v>347</v>
      </c>
      <c r="D8" s="7" t="str">
        <f t="shared" si="0"/>
        <v>No</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C70-20E5-4626-AABD-D40BB39503D1}">
  <sheetPr codeName="Sheet555"/>
  <dimension ref="A1:G10"/>
  <sheetViews>
    <sheetView workbookViewId="0"/>
  </sheetViews>
  <sheetFormatPr defaultRowHeight="14.4"/>
  <cols>
    <col min="1" max="1" width="18.88671875" customWidth="1"/>
    <col min="2" max="2" width="11.109375" bestFit="1" customWidth="1"/>
    <col min="6" max="6" width="18.88671875" customWidth="1"/>
    <col min="7" max="7" width="11.109375" bestFit="1" customWidth="1"/>
  </cols>
  <sheetData>
    <row r="1" spans="1:7">
      <c r="A1" s="1" t="s">
        <v>4463</v>
      </c>
      <c r="B1" s="87">
        <v>5000</v>
      </c>
      <c r="F1" s="1" t="s">
        <v>4463</v>
      </c>
      <c r="G1" s="87">
        <v>5000</v>
      </c>
    </row>
    <row r="3" spans="1:7">
      <c r="A3" s="1" t="s">
        <v>4465</v>
      </c>
      <c r="B3" s="1" t="s">
        <v>4363</v>
      </c>
      <c r="F3" s="1" t="s">
        <v>4465</v>
      </c>
      <c r="G3" s="1" t="s">
        <v>4363</v>
      </c>
    </row>
    <row r="4" spans="1:7">
      <c r="A4" s="2" t="s">
        <v>4464</v>
      </c>
      <c r="B4" s="53">
        <v>-1000</v>
      </c>
      <c r="F4" s="2" t="s">
        <v>4464</v>
      </c>
      <c r="G4" s="53">
        <v>-1000</v>
      </c>
    </row>
    <row r="5" spans="1:7">
      <c r="A5" s="2" t="s">
        <v>4466</v>
      </c>
      <c r="B5" s="53">
        <v>-200</v>
      </c>
      <c r="F5" s="2" t="s">
        <v>4466</v>
      </c>
      <c r="G5" s="53">
        <v>-200</v>
      </c>
    </row>
    <row r="6" spans="1:7">
      <c r="A6" s="2" t="s">
        <v>4467</v>
      </c>
      <c r="B6" s="53">
        <v>-150</v>
      </c>
      <c r="F6" s="2" t="s">
        <v>4467</v>
      </c>
      <c r="G6" s="53">
        <v>-150</v>
      </c>
    </row>
    <row r="7" spans="1:7">
      <c r="A7" s="2" t="s">
        <v>4468</v>
      </c>
      <c r="B7" s="53">
        <v>-900</v>
      </c>
      <c r="F7" s="2" t="s">
        <v>4468</v>
      </c>
      <c r="G7" s="53">
        <v>-900</v>
      </c>
    </row>
    <row r="8" spans="1:7">
      <c r="A8" s="2" t="s">
        <v>4469</v>
      </c>
      <c r="B8" s="53">
        <v>-250</v>
      </c>
      <c r="F8" s="2" t="s">
        <v>4469</v>
      </c>
      <c r="G8" s="53">
        <v>-250</v>
      </c>
    </row>
    <row r="10" spans="1:7">
      <c r="A10" s="1" t="s">
        <v>4470</v>
      </c>
      <c r="B10" s="87">
        <f>SUM(B1,B4:B8)</f>
        <v>2500</v>
      </c>
      <c r="F10" s="1" t="s">
        <v>4470</v>
      </c>
      <c r="G10" s="87">
        <f>SUM(G1,G4:G8)</f>
        <v>2500</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3434-D4CF-4A4A-9AD8-306F32320DFD}">
  <sheetPr codeName="Sheet556"/>
  <dimension ref="A1:E5"/>
  <sheetViews>
    <sheetView workbookViewId="0">
      <selection activeCell="E12" sqref="E12"/>
    </sheetView>
  </sheetViews>
  <sheetFormatPr defaultRowHeight="14.4"/>
  <cols>
    <col min="1" max="2" width="7" bestFit="1" customWidth="1"/>
    <col min="3" max="3" width="43.44140625" bestFit="1" customWidth="1"/>
    <col min="4" max="4" width="14.6640625" customWidth="1"/>
    <col min="5" max="5" width="41.88671875" bestFit="1" customWidth="1"/>
  </cols>
  <sheetData>
    <row r="1" spans="1:5">
      <c r="A1" s="1" t="s">
        <v>9</v>
      </c>
      <c r="B1" s="1" t="s">
        <v>10</v>
      </c>
      <c r="C1" s="1" t="s">
        <v>4398</v>
      </c>
      <c r="D1" s="1" t="s">
        <v>4397</v>
      </c>
      <c r="E1" s="1" t="s">
        <v>1977</v>
      </c>
    </row>
    <row r="2" spans="1:5">
      <c r="A2" s="2">
        <v>20</v>
      </c>
      <c r="B2" s="2">
        <v>10</v>
      </c>
      <c r="C2" s="2" t="s">
        <v>4474</v>
      </c>
      <c r="D2" s="7">
        <f>A2/B2</f>
        <v>2</v>
      </c>
      <c r="E2" s="65" t="s">
        <v>4471</v>
      </c>
    </row>
    <row r="3" spans="1:5">
      <c r="A3" s="2">
        <v>78</v>
      </c>
      <c r="B3" s="2">
        <v>150</v>
      </c>
      <c r="C3" s="2" t="s">
        <v>4475</v>
      </c>
      <c r="D3" s="7">
        <f>(A3+B3)/A3</f>
        <v>2.9230769230769229</v>
      </c>
      <c r="E3" s="65" t="s">
        <v>4472</v>
      </c>
    </row>
    <row r="4" spans="1:5">
      <c r="A4" s="2">
        <v>1000</v>
      </c>
      <c r="B4" s="2">
        <v>100</v>
      </c>
      <c r="C4" s="2" t="s">
        <v>4476</v>
      </c>
      <c r="D4" s="7">
        <f>((1000/10)+(1000/10))*1000</f>
        <v>200000</v>
      </c>
      <c r="E4" s="65" t="s">
        <v>4473</v>
      </c>
    </row>
    <row r="5" spans="1:5" ht="16.2">
      <c r="A5" s="2">
        <v>243</v>
      </c>
      <c r="B5" s="2">
        <v>1.5</v>
      </c>
      <c r="C5" s="2" t="s">
        <v>4481</v>
      </c>
      <c r="D5" s="7">
        <f>(A5/(B5*2))^2</f>
        <v>6561</v>
      </c>
      <c r="E5" s="65" t="s">
        <v>4482</v>
      </c>
    </row>
  </sheetData>
  <pageMargins left="0.7" right="0.7" top="0.75" bottom="0.75" header="0.3" footer="0.3"/>
  <pageSetup orientation="portrait" horizontalDpi="4294967293" verticalDpi="0" r:id="rId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4DCE-C293-43F5-8D18-F5C9AA6680E7}">
  <sheetPr codeName="Sheet557"/>
  <dimension ref="A1:D6"/>
  <sheetViews>
    <sheetView workbookViewId="0">
      <selection activeCell="E12" sqref="E12"/>
    </sheetView>
  </sheetViews>
  <sheetFormatPr defaultRowHeight="14.4"/>
  <cols>
    <col min="3" max="3" width="34" bestFit="1" customWidth="1"/>
    <col min="4" max="4" width="14.44140625" bestFit="1" customWidth="1"/>
  </cols>
  <sheetData>
    <row r="1" spans="1:4">
      <c r="A1" s="1" t="s">
        <v>9</v>
      </c>
      <c r="B1" s="1" t="s">
        <v>10</v>
      </c>
      <c r="C1" s="1" t="s">
        <v>4398</v>
      </c>
      <c r="D1" s="1" t="s">
        <v>4397</v>
      </c>
    </row>
    <row r="2" spans="1:4">
      <c r="A2" s="2">
        <v>110</v>
      </c>
      <c r="B2" s="2">
        <v>4</v>
      </c>
      <c r="C2" s="2" t="s">
        <v>4477</v>
      </c>
      <c r="D2" s="7">
        <f>110/4</f>
        <v>27.5</v>
      </c>
    </row>
    <row r="3" spans="1:4">
      <c r="A3" s="2">
        <v>5239</v>
      </c>
      <c r="B3" s="2">
        <v>29</v>
      </c>
      <c r="C3" s="2" t="s">
        <v>4478</v>
      </c>
      <c r="D3" s="7">
        <f>A3/29</f>
        <v>180.65517241379311</v>
      </c>
    </row>
    <row r="4" spans="1:4">
      <c r="A4" s="2">
        <v>228</v>
      </c>
      <c r="B4" s="2">
        <v>13</v>
      </c>
      <c r="C4" s="2" t="s">
        <v>4479</v>
      </c>
      <c r="D4" s="7">
        <f>A4/B4/B4</f>
        <v>1.3491124260355032</v>
      </c>
    </row>
    <row r="5" spans="1:4">
      <c r="A5" s="2">
        <v>629</v>
      </c>
      <c r="B5" s="2">
        <v>5</v>
      </c>
      <c r="C5" s="2" t="s">
        <v>4480</v>
      </c>
      <c r="D5" s="7">
        <f>B5*(A5/(B5+B5))</f>
        <v>314.5</v>
      </c>
    </row>
    <row r="6" spans="1:4">
      <c r="D6" s="122"/>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BCDB-9D93-4C10-9455-C5F22086C704}">
  <sheetPr codeName="Sheet558"/>
  <dimension ref="A1:E7"/>
  <sheetViews>
    <sheetView workbookViewId="0">
      <selection activeCell="E12" sqref="E12"/>
    </sheetView>
  </sheetViews>
  <sheetFormatPr defaultRowHeight="14.4"/>
  <cols>
    <col min="1" max="2" width="7" bestFit="1" customWidth="1"/>
    <col min="4" max="5" width="25.109375" bestFit="1" customWidth="1"/>
  </cols>
  <sheetData>
    <row r="1" spans="1:5">
      <c r="A1" s="1" t="s">
        <v>9</v>
      </c>
      <c r="B1" s="1" t="s">
        <v>10</v>
      </c>
      <c r="D1" s="1" t="s">
        <v>4483</v>
      </c>
      <c r="E1" s="1" t="s">
        <v>1977</v>
      </c>
    </row>
    <row r="2" spans="1:5">
      <c r="A2" s="2">
        <v>80000</v>
      </c>
      <c r="B2" s="2">
        <v>10000</v>
      </c>
      <c r="D2" s="2">
        <f>A2/B2</f>
        <v>8</v>
      </c>
      <c r="E2" s="55" t="s">
        <v>4471</v>
      </c>
    </row>
    <row r="3" spans="1:5">
      <c r="A3" s="2">
        <v>921</v>
      </c>
      <c r="B3" s="2">
        <v>83</v>
      </c>
      <c r="D3" s="2">
        <f>A3/B3</f>
        <v>11.096385542168674</v>
      </c>
      <c r="E3" s="55" t="s">
        <v>4485</v>
      </c>
    </row>
    <row r="5" spans="1:5">
      <c r="D5" s="1" t="s">
        <v>4484</v>
      </c>
    </row>
    <row r="6" spans="1:5">
      <c r="D6" s="7">
        <f>QUOTIENT(A2,B2)</f>
        <v>8</v>
      </c>
    </row>
    <row r="7" spans="1:5">
      <c r="D7" s="7">
        <f>QUOTIENT(A3,B3)</f>
        <v>11</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557A-0879-4398-9866-8A34D11D9958}">
  <sheetPr codeName="Sheet559"/>
  <dimension ref="A1:D6"/>
  <sheetViews>
    <sheetView workbookViewId="0">
      <selection activeCell="E12" sqref="E12"/>
    </sheetView>
  </sheetViews>
  <sheetFormatPr defaultRowHeight="14.4"/>
  <cols>
    <col min="1" max="1" width="14.5546875" bestFit="1" customWidth="1"/>
    <col min="2" max="2" width="17" bestFit="1" customWidth="1"/>
    <col min="3" max="3" width="36.88671875" bestFit="1" customWidth="1"/>
    <col min="4" max="4" width="16.33203125" bestFit="1" customWidth="1"/>
  </cols>
  <sheetData>
    <row r="1" spans="1:4">
      <c r="A1" s="1" t="s">
        <v>155</v>
      </c>
      <c r="B1" s="1" t="s">
        <v>4463</v>
      </c>
      <c r="C1" s="44" t="s">
        <v>4492</v>
      </c>
      <c r="D1" s="25" t="s">
        <v>4486</v>
      </c>
    </row>
    <row r="2" spans="1:4">
      <c r="A2" s="2" t="s">
        <v>4487</v>
      </c>
      <c r="B2" s="53">
        <v>5010</v>
      </c>
      <c r="C2" s="2">
        <v>20</v>
      </c>
      <c r="D2" s="67">
        <f t="array" ref="D2:D6">B2:B6/C2:C6</f>
        <v>250.5</v>
      </c>
    </row>
    <row r="3" spans="1:4">
      <c r="A3" s="2" t="s">
        <v>4488</v>
      </c>
      <c r="B3" s="53">
        <v>4500</v>
      </c>
      <c r="C3" s="2">
        <v>22</v>
      </c>
      <c r="D3" s="67">
        <v>204.54545454545453</v>
      </c>
    </row>
    <row r="4" spans="1:4">
      <c r="A4" s="2" t="s">
        <v>4491</v>
      </c>
      <c r="B4" s="53">
        <v>6000</v>
      </c>
      <c r="C4" s="2">
        <v>15</v>
      </c>
      <c r="D4" s="67">
        <v>400</v>
      </c>
    </row>
    <row r="5" spans="1:4">
      <c r="A5" s="2" t="s">
        <v>4490</v>
      </c>
      <c r="B5" s="53">
        <v>5200</v>
      </c>
      <c r="C5" s="2">
        <v>21</v>
      </c>
      <c r="D5" s="67">
        <v>247.61904761904762</v>
      </c>
    </row>
    <row r="6" spans="1:4">
      <c r="A6" s="2" t="s">
        <v>4489</v>
      </c>
      <c r="B6" s="53">
        <v>4900</v>
      </c>
      <c r="C6" s="2">
        <v>19</v>
      </c>
      <c r="D6" s="67">
        <v>257.89473684210526</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7AAD-E322-4449-A8EA-DB3D3B906587}">
  <sheetPr codeName="Sheet560"/>
  <dimension ref="A1:G7"/>
  <sheetViews>
    <sheetView workbookViewId="0">
      <selection activeCell="E12" sqref="E12"/>
    </sheetView>
  </sheetViews>
  <sheetFormatPr defaultRowHeight="14.4"/>
  <cols>
    <col min="1" max="1" width="6.5546875" bestFit="1" customWidth="1"/>
    <col min="2" max="2" width="25.88671875" bestFit="1" customWidth="1"/>
    <col min="4" max="4" width="34.88671875" bestFit="1" customWidth="1"/>
    <col min="6" max="6" width="23.5546875" bestFit="1" customWidth="1"/>
  </cols>
  <sheetData>
    <row r="1" spans="1:7">
      <c r="F1" s="58" t="s">
        <v>4496</v>
      </c>
      <c r="G1" s="2">
        <v>7</v>
      </c>
    </row>
    <row r="2" spans="1:7">
      <c r="A2" s="1" t="s">
        <v>130</v>
      </c>
      <c r="B2" s="1" t="s">
        <v>4493</v>
      </c>
      <c r="D2" s="1" t="s">
        <v>4495</v>
      </c>
      <c r="F2" s="1" t="s">
        <v>4494</v>
      </c>
    </row>
    <row r="3" spans="1:7">
      <c r="A3" s="2" t="s">
        <v>3983</v>
      </c>
      <c r="B3" s="2">
        <v>1500</v>
      </c>
      <c r="D3" s="7">
        <f>B3/7</f>
        <v>214.28571428571428</v>
      </c>
      <c r="F3" s="7">
        <f>B3/$G$1</f>
        <v>214.28571428571428</v>
      </c>
    </row>
    <row r="4" spans="1:7">
      <c r="A4" s="2" t="s">
        <v>3984</v>
      </c>
      <c r="B4" s="2">
        <v>1490</v>
      </c>
      <c r="D4" s="7">
        <f t="shared" ref="D4:D7" si="0">B4/7</f>
        <v>212.85714285714286</v>
      </c>
      <c r="F4" s="7">
        <f t="shared" ref="F4:F7" si="1">B4/$G$1</f>
        <v>212.85714285714286</v>
      </c>
    </row>
    <row r="5" spans="1:7">
      <c r="A5" s="2" t="s">
        <v>3985</v>
      </c>
      <c r="B5" s="2">
        <v>3500</v>
      </c>
      <c r="D5" s="7">
        <f t="shared" si="0"/>
        <v>500</v>
      </c>
      <c r="F5" s="7">
        <f t="shared" si="1"/>
        <v>500</v>
      </c>
    </row>
    <row r="6" spans="1:7">
      <c r="A6" s="2" t="s">
        <v>3986</v>
      </c>
      <c r="B6" s="2">
        <v>1620</v>
      </c>
      <c r="D6" s="7">
        <f t="shared" si="0"/>
        <v>231.42857142857142</v>
      </c>
      <c r="F6" s="7">
        <f t="shared" si="1"/>
        <v>231.42857142857142</v>
      </c>
    </row>
    <row r="7" spans="1:7">
      <c r="A7" s="2" t="s">
        <v>3987</v>
      </c>
      <c r="B7" s="2">
        <v>4280</v>
      </c>
      <c r="D7" s="7">
        <f t="shared" si="0"/>
        <v>611.42857142857144</v>
      </c>
      <c r="F7" s="7">
        <f t="shared" si="1"/>
        <v>611.42857142857144</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8451-AA06-4ED4-9AAE-667B9E5121CB}">
  <sheetPr codeName="Sheet561"/>
  <dimension ref="A1:F6"/>
  <sheetViews>
    <sheetView workbookViewId="0">
      <selection activeCell="E12" sqref="E12"/>
    </sheetView>
  </sheetViews>
  <sheetFormatPr defaultRowHeight="14.4"/>
  <cols>
    <col min="1" max="1" width="6.5546875" bestFit="1" customWidth="1"/>
    <col min="2" max="2" width="25.88671875" bestFit="1" customWidth="1"/>
    <col min="3" max="3" width="23.6640625" bestFit="1" customWidth="1"/>
    <col min="5" max="5" width="13.109375" bestFit="1" customWidth="1"/>
  </cols>
  <sheetData>
    <row r="1" spans="1:6">
      <c r="A1" s="1" t="s">
        <v>130</v>
      </c>
      <c r="B1" s="1" t="s">
        <v>4493</v>
      </c>
      <c r="C1" s="1" t="s">
        <v>4494</v>
      </c>
      <c r="E1" s="58" t="s">
        <v>4496</v>
      </c>
      <c r="F1" s="2">
        <v>7</v>
      </c>
    </row>
    <row r="2" spans="1:6">
      <c r="A2" s="2" t="s">
        <v>3983</v>
      </c>
      <c r="B2" s="2">
        <v>1500</v>
      </c>
      <c r="C2" s="7">
        <v>214.28571428571428</v>
      </c>
    </row>
    <row r="3" spans="1:6">
      <c r="A3" s="2" t="s">
        <v>3984</v>
      </c>
      <c r="B3" s="2">
        <v>1490</v>
      </c>
      <c r="C3" s="7">
        <v>212.85714285714286</v>
      </c>
    </row>
    <row r="4" spans="1:6">
      <c r="A4" s="2" t="s">
        <v>3985</v>
      </c>
      <c r="B4" s="2">
        <v>3500</v>
      </c>
      <c r="C4" s="7">
        <v>500</v>
      </c>
    </row>
    <row r="5" spans="1:6">
      <c r="A5" s="2" t="s">
        <v>3986</v>
      </c>
      <c r="B5" s="2">
        <v>1620</v>
      </c>
      <c r="C5" s="7">
        <v>231.42857142857142</v>
      </c>
    </row>
    <row r="6" spans="1:6">
      <c r="A6" s="2" t="s">
        <v>3987</v>
      </c>
      <c r="B6" s="2">
        <v>4280</v>
      </c>
      <c r="C6" s="7">
        <v>611.42857142857144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6AD2-1E79-4DF3-9C18-32DD00164EB4}">
  <sheetPr codeName="Sheet562"/>
  <dimension ref="A1:C3"/>
  <sheetViews>
    <sheetView workbookViewId="0">
      <selection activeCell="E12" sqref="E12"/>
    </sheetView>
  </sheetViews>
  <sheetFormatPr defaultRowHeight="14.4"/>
  <cols>
    <col min="1" max="1" width="10.109375" bestFit="1" customWidth="1"/>
    <col min="2" max="2" width="12" bestFit="1" customWidth="1"/>
    <col min="3" max="3" width="13.109375" bestFit="1" customWidth="1"/>
  </cols>
  <sheetData>
    <row r="1" spans="1:3">
      <c r="A1" s="1" t="s">
        <v>4497</v>
      </c>
      <c r="B1" s="1" t="s">
        <v>4498</v>
      </c>
      <c r="C1" s="1" t="s">
        <v>4499</v>
      </c>
    </row>
    <row r="2" spans="1:3">
      <c r="A2" s="401">
        <v>725</v>
      </c>
      <c r="B2" s="82">
        <v>0.85</v>
      </c>
      <c r="C2" s="7">
        <f>ROUNDUP(A2/B2,0)</f>
        <v>853</v>
      </c>
    </row>
    <row r="3" spans="1:3">
      <c r="A3" s="401"/>
      <c r="B3" s="2">
        <v>0.85</v>
      </c>
      <c r="C3" s="7">
        <f>ROUNDUP(A2/B3,0)</f>
        <v>853</v>
      </c>
    </row>
  </sheetData>
  <mergeCells count="1">
    <mergeCell ref="A2: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5A0D-41B4-4026-97FE-929E4B2E7669}">
  <sheetPr codeName="Sheet563"/>
  <dimension ref="A1:O9"/>
  <sheetViews>
    <sheetView workbookViewId="0">
      <selection activeCell="E12" sqref="E12"/>
    </sheetView>
  </sheetViews>
  <sheetFormatPr defaultRowHeight="14.4"/>
  <cols>
    <col min="1" max="1" width="7.109375" bestFit="1" customWidth="1"/>
    <col min="2" max="2" width="18.44140625" bestFit="1" customWidth="1"/>
    <col min="3" max="3" width="24.44140625" bestFit="1" customWidth="1"/>
    <col min="4" max="4" width="20.88671875" bestFit="1" customWidth="1"/>
  </cols>
  <sheetData>
    <row r="1" spans="1:15">
      <c r="A1" s="1" t="s">
        <v>4500</v>
      </c>
      <c r="B1" s="1" t="s">
        <v>4503</v>
      </c>
      <c r="C1" s="1" t="s">
        <v>4505</v>
      </c>
      <c r="D1" s="1" t="s">
        <v>4504</v>
      </c>
    </row>
    <row r="2" spans="1:15">
      <c r="A2" s="2" t="s">
        <v>4501</v>
      </c>
      <c r="B2" s="2">
        <v>10000</v>
      </c>
      <c r="C2" s="2"/>
      <c r="D2" s="7" t="str">
        <f>IF(C2=0,"Insufficient Data",B2/C2)</f>
        <v>Insufficient Data</v>
      </c>
    </row>
    <row r="3" spans="1:15">
      <c r="A3" s="2" t="s">
        <v>4502</v>
      </c>
      <c r="B3" s="2">
        <v>11000</v>
      </c>
      <c r="C3" s="2"/>
      <c r="D3" s="7" t="str">
        <f>IFERROR(B3/C3,"Insufficient Data")</f>
        <v>Insufficient Data</v>
      </c>
    </row>
    <row r="8" spans="1:15">
      <c r="N8" s="2">
        <v>10000</v>
      </c>
      <c r="O8" s="2">
        <v>80</v>
      </c>
    </row>
    <row r="9" spans="1:15">
      <c r="N9" s="2">
        <v>11000</v>
      </c>
      <c r="O9" s="2">
        <v>100</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9F4C-AEC6-4C3A-A8A5-58AA447B06C7}">
  <sheetPr codeName="Sheet564"/>
  <dimension ref="A1:O14"/>
  <sheetViews>
    <sheetView workbookViewId="0">
      <selection activeCell="E12" sqref="E12"/>
    </sheetView>
  </sheetViews>
  <sheetFormatPr defaultRowHeight="14.4"/>
  <cols>
    <col min="1" max="1" width="4.88671875" bestFit="1" customWidth="1"/>
    <col min="2" max="2" width="19.5546875" bestFit="1" customWidth="1"/>
    <col min="3" max="3" width="16.44140625" bestFit="1" customWidth="1"/>
    <col min="4" max="4" width="16" bestFit="1" customWidth="1"/>
  </cols>
  <sheetData>
    <row r="1" spans="1:15">
      <c r="A1" s="1" t="s">
        <v>33</v>
      </c>
      <c r="B1" s="1" t="s">
        <v>4508</v>
      </c>
      <c r="C1" s="1" t="s">
        <v>4506</v>
      </c>
      <c r="D1" s="1" t="s">
        <v>4507</v>
      </c>
    </row>
    <row r="2" spans="1:15">
      <c r="A2" s="55">
        <v>2015</v>
      </c>
      <c r="B2" s="53">
        <v>14345</v>
      </c>
      <c r="C2" s="53">
        <v>13394</v>
      </c>
      <c r="D2" s="62">
        <v>6.6294876263506441E-2</v>
      </c>
    </row>
    <row r="3" spans="1:15">
      <c r="A3" s="55">
        <v>2016</v>
      </c>
      <c r="B3" s="53">
        <v>20138</v>
      </c>
      <c r="C3" s="53">
        <v>20000</v>
      </c>
      <c r="D3" s="62">
        <v>6.8527162578210345E-3</v>
      </c>
    </row>
    <row r="4" spans="1:15">
      <c r="A4" s="55">
        <v>2017</v>
      </c>
      <c r="B4" s="53">
        <v>25149</v>
      </c>
      <c r="C4" s="53">
        <v>21749</v>
      </c>
      <c r="D4" s="62">
        <v>0.13519424231579785</v>
      </c>
    </row>
    <row r="5" spans="1:15">
      <c r="A5" s="55">
        <v>2018</v>
      </c>
      <c r="B5" s="53">
        <v>28741</v>
      </c>
      <c r="C5" s="53">
        <v>25376</v>
      </c>
      <c r="D5" s="62">
        <v>0.11708012943182214</v>
      </c>
    </row>
    <row r="6" spans="1:15">
      <c r="A6" s="55">
        <v>2019</v>
      </c>
      <c r="B6" s="53">
        <v>33142</v>
      </c>
      <c r="C6" s="53">
        <v>35187</v>
      </c>
      <c r="D6" s="62">
        <v>-6.1704182004707016E-2</v>
      </c>
    </row>
    <row r="7" spans="1:15">
      <c r="A7" s="55">
        <v>2020</v>
      </c>
      <c r="B7" s="53">
        <v>10368</v>
      </c>
      <c r="C7" s="53">
        <v>9620</v>
      </c>
      <c r="D7" s="62">
        <v>7.2145061728395063E-2</v>
      </c>
    </row>
    <row r="9" spans="1:15">
      <c r="O9" s="144">
        <v>6.6294876263506441E-2</v>
      </c>
    </row>
    <row r="10" spans="1:15">
      <c r="O10" s="144">
        <v>6.8527162578210345E-3</v>
      </c>
    </row>
    <row r="11" spans="1:15">
      <c r="O11" s="144">
        <v>0.13519424231579785</v>
      </c>
    </row>
    <row r="12" spans="1:15">
      <c r="O12" s="144">
        <v>0.11708012943182214</v>
      </c>
    </row>
    <row r="13" spans="1:15">
      <c r="O13" s="144">
        <v>-6.1704182004707016E-2</v>
      </c>
    </row>
    <row r="14" spans="1:15">
      <c r="O14" s="144">
        <v>7.2145061728395063E-2</v>
      </c>
    </row>
  </sheetData>
  <pageMargins left="0.7" right="0.7" top="0.75" bottom="0.75" header="0.3" footer="0.3"/>
  <pageSetup orientation="portrait" horizontalDpi="4294967293" verticalDpi="0"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09AC-C7FF-4D44-A707-ADD640908638}">
  <sheetPr codeName="Sheet565"/>
  <dimension ref="A1:F5"/>
  <sheetViews>
    <sheetView workbookViewId="0"/>
  </sheetViews>
  <sheetFormatPr defaultRowHeight="14.4"/>
  <cols>
    <col min="1" max="1" width="15.6640625" bestFit="1" customWidth="1"/>
    <col min="2" max="2" width="19.44140625" bestFit="1" customWidth="1"/>
    <col min="3" max="4" width="19.33203125" bestFit="1" customWidth="1"/>
    <col min="5" max="5" width="19.44140625" bestFit="1" customWidth="1"/>
    <col min="6" max="6" width="19.109375" bestFit="1" customWidth="1"/>
  </cols>
  <sheetData>
    <row r="1" spans="1:6">
      <c r="A1" s="1" t="s">
        <v>33</v>
      </c>
      <c r="B1" s="1" t="s">
        <v>4510</v>
      </c>
      <c r="C1" s="1" t="s">
        <v>4511</v>
      </c>
      <c r="D1" s="1" t="s">
        <v>4512</v>
      </c>
      <c r="E1" s="1" t="s">
        <v>4513</v>
      </c>
      <c r="F1" s="1" t="s">
        <v>4514</v>
      </c>
    </row>
    <row r="2" spans="1:6">
      <c r="A2" s="2">
        <v>2018</v>
      </c>
      <c r="B2" s="53">
        <v>200000</v>
      </c>
      <c r="C2" s="53">
        <v>103489</v>
      </c>
      <c r="D2" s="53">
        <v>193288</v>
      </c>
      <c r="E2" s="53">
        <v>185220</v>
      </c>
      <c r="F2" s="53">
        <v>297365</v>
      </c>
    </row>
    <row r="3" spans="1:6">
      <c r="A3" s="2">
        <v>2019</v>
      </c>
      <c r="B3" s="53">
        <v>210450</v>
      </c>
      <c r="C3" s="53">
        <v>115840</v>
      </c>
      <c r="D3" s="53">
        <v>241639</v>
      </c>
      <c r="E3" s="53">
        <v>221943</v>
      </c>
      <c r="F3" s="53">
        <v>331530</v>
      </c>
    </row>
    <row r="4" spans="1:6">
      <c r="A4" s="2">
        <v>2020</v>
      </c>
      <c r="B4" s="53">
        <v>235593</v>
      </c>
      <c r="C4" s="53">
        <v>150748</v>
      </c>
      <c r="D4" s="53">
        <v>227148</v>
      </c>
      <c r="E4" s="53">
        <v>284617</v>
      </c>
      <c r="F4" s="53">
        <v>389620</v>
      </c>
    </row>
    <row r="5" spans="1:6">
      <c r="A5" s="1" t="s">
        <v>4509</v>
      </c>
      <c r="B5" s="67">
        <f>SUM(B2:B4)/3</f>
        <v>215347.66666666666</v>
      </c>
      <c r="C5" s="67">
        <f t="shared" ref="C5:F5" si="0">SUM(C2:C4)/3</f>
        <v>123359</v>
      </c>
      <c r="D5" s="67">
        <f t="shared" si="0"/>
        <v>220691.66666666666</v>
      </c>
      <c r="E5" s="67">
        <f t="shared" si="0"/>
        <v>230593.33333333334</v>
      </c>
      <c r="F5" s="67">
        <f t="shared" si="0"/>
        <v>339505</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0775-BEE1-4CAD-9D11-FB1453372397}">
  <sheetPr codeName="Sheet566"/>
  <dimension ref="A1:D4"/>
  <sheetViews>
    <sheetView workbookViewId="0">
      <selection activeCell="C4" sqref="C4"/>
    </sheetView>
  </sheetViews>
  <sheetFormatPr defaultRowHeight="14.4"/>
  <cols>
    <col min="1" max="1" width="20.44140625" bestFit="1" customWidth="1"/>
    <col min="2" max="2" width="31.5546875" bestFit="1" customWidth="1"/>
    <col min="3" max="3" width="17" customWidth="1"/>
    <col min="4" max="4" width="28.33203125" bestFit="1" customWidth="1"/>
  </cols>
  <sheetData>
    <row r="1" spans="1:4">
      <c r="A1" s="1" t="s">
        <v>598</v>
      </c>
      <c r="B1" s="1" t="s">
        <v>4517</v>
      </c>
      <c r="C1" s="1" t="s">
        <v>4521</v>
      </c>
      <c r="D1" s="1" t="s">
        <v>1570</v>
      </c>
    </row>
    <row r="2" spans="1:4">
      <c r="A2" s="243" t="s">
        <v>4515</v>
      </c>
      <c r="B2" s="2" t="s">
        <v>4518</v>
      </c>
      <c r="C2" s="7" t="str">
        <f>LEFT(A2,4)</f>
        <v>anna</v>
      </c>
      <c r="D2" s="65" t="s">
        <v>4522</v>
      </c>
    </row>
    <row r="3" spans="1:4">
      <c r="A3" s="2" t="s">
        <v>4516</v>
      </c>
      <c r="B3" s="2" t="s">
        <v>4520</v>
      </c>
      <c r="C3" s="7" t="str">
        <f>RIGHT(A3,3)</f>
        <v>L11</v>
      </c>
      <c r="D3" s="65" t="s">
        <v>4523</v>
      </c>
    </row>
    <row r="4" spans="1:4">
      <c r="A4" s="2" t="s">
        <v>1029</v>
      </c>
      <c r="B4" s="2" t="s">
        <v>4519</v>
      </c>
      <c r="C4" s="7" t="str">
        <f>MID(A4,2,2)</f>
        <v>oo</v>
      </c>
      <c r="D4" s="65" t="s">
        <v>4524</v>
      </c>
    </row>
  </sheetData>
  <hyperlinks>
    <hyperlink ref="A2" r:id="rId1" xr:uid="{7605FE64-302E-4849-8E4B-06573ECF3982}"/>
  </hyperlinks>
  <pageMargins left="0.7" right="0.7" top="0.75" bottom="0.75" header="0.3" footer="0.3"/>
  <pageSetup orientation="portrait" horizontalDpi="4294967293" verticalDpi="0" r:id="rId2"/>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5D4-5D29-4F56-9DAA-B213FF428242}">
  <sheetPr codeName="Sheet567"/>
  <dimension ref="A1:D26"/>
  <sheetViews>
    <sheetView zoomScale="80" zoomScaleNormal="80" workbookViewId="0">
      <selection activeCell="C4" sqref="C4"/>
    </sheetView>
  </sheetViews>
  <sheetFormatPr defaultRowHeight="14.4"/>
  <cols>
    <col min="1" max="1" width="46.109375" bestFit="1" customWidth="1"/>
    <col min="2" max="2" width="56.33203125" bestFit="1" customWidth="1"/>
    <col min="3" max="3" width="26.109375" bestFit="1" customWidth="1"/>
    <col min="4" max="4" width="39.5546875" bestFit="1" customWidth="1"/>
  </cols>
  <sheetData>
    <row r="1" spans="1:4">
      <c r="A1" s="1" t="s">
        <v>598</v>
      </c>
      <c r="B1" s="1" t="s">
        <v>4517</v>
      </c>
      <c r="C1" s="1" t="s">
        <v>4535</v>
      </c>
      <c r="D1" s="1" t="s">
        <v>4554</v>
      </c>
    </row>
    <row r="2" spans="1:4">
      <c r="A2" s="2" t="s">
        <v>4525</v>
      </c>
      <c r="B2" s="2" t="s">
        <v>4532</v>
      </c>
      <c r="C2" s="7" t="str">
        <f>LEFT(A2,18)</f>
        <v>This is an example</v>
      </c>
      <c r="D2" s="65" t="s">
        <v>4555</v>
      </c>
    </row>
    <row r="3" spans="1:4">
      <c r="A3" s="2" t="s">
        <v>4526</v>
      </c>
      <c r="B3" s="2" t="s">
        <v>4534</v>
      </c>
      <c r="C3" s="7" t="str">
        <f>LEFT(A3,4)</f>
        <v>ABCL</v>
      </c>
      <c r="D3" s="65" t="s">
        <v>4556</v>
      </c>
    </row>
    <row r="4" spans="1:4">
      <c r="A4" s="2" t="s">
        <v>4527</v>
      </c>
      <c r="B4" s="2" t="s">
        <v>4549</v>
      </c>
      <c r="C4" s="7" t="str">
        <f>LEFT(A4,17)</f>
        <v>3169 Cedar Street</v>
      </c>
      <c r="D4" s="65" t="s">
        <v>4557</v>
      </c>
    </row>
    <row r="5" spans="1:4">
      <c r="A5" s="2" t="s">
        <v>4528</v>
      </c>
      <c r="B5" s="2" t="s">
        <v>4550</v>
      </c>
      <c r="C5" s="7" t="str">
        <f>LEFT(A5,3)</f>
        <v>870</v>
      </c>
      <c r="D5" s="65" t="s">
        <v>4558</v>
      </c>
    </row>
    <row r="6" spans="1:4">
      <c r="A6" s="2" t="s">
        <v>4529</v>
      </c>
      <c r="B6" s="2" t="s">
        <v>4531</v>
      </c>
      <c r="C6" s="7" t="str">
        <f>LEFT(A6,6)</f>
        <v>Ashley</v>
      </c>
      <c r="D6" s="65" t="s">
        <v>4559</v>
      </c>
    </row>
    <row r="7" spans="1:4">
      <c r="A7" s="20">
        <v>44875</v>
      </c>
      <c r="B7" s="2" t="s">
        <v>4533</v>
      </c>
      <c r="C7" s="7" t="str">
        <f>LEFT("11/10/2022",5)</f>
        <v>11/10</v>
      </c>
      <c r="D7" s="65" t="s">
        <v>4560</v>
      </c>
    </row>
    <row r="8" spans="1:4">
      <c r="A8" s="83">
        <v>50000</v>
      </c>
      <c r="B8" s="2" t="s">
        <v>4530</v>
      </c>
      <c r="C8" s="7" t="str">
        <f>LEFT("$50,000",1)</f>
        <v>$</v>
      </c>
      <c r="D8" s="65" t="s">
        <v>4561</v>
      </c>
    </row>
    <row r="10" spans="1:4">
      <c r="A10" s="1" t="s">
        <v>598</v>
      </c>
      <c r="B10" s="1" t="s">
        <v>4517</v>
      </c>
      <c r="C10" s="1" t="s">
        <v>4536</v>
      </c>
      <c r="D10" s="1" t="s">
        <v>4562</v>
      </c>
    </row>
    <row r="11" spans="1:4">
      <c r="A11" s="2" t="s">
        <v>4525</v>
      </c>
      <c r="B11" s="2" t="s">
        <v>4538</v>
      </c>
      <c r="C11" s="7" t="str">
        <f>RIGHT(A11,22)</f>
        <v>of substring in Excel.</v>
      </c>
      <c r="D11" s="65" t="s">
        <v>4563</v>
      </c>
    </row>
    <row r="12" spans="1:4">
      <c r="A12" s="2" t="s">
        <v>4526</v>
      </c>
      <c r="B12" s="2" t="s">
        <v>4539</v>
      </c>
      <c r="C12" s="7" t="str">
        <f>RIGHT(A12,4)</f>
        <v>2941</v>
      </c>
      <c r="D12" s="65" t="s">
        <v>4564</v>
      </c>
    </row>
    <row r="13" spans="1:4">
      <c r="A13" s="2" t="s">
        <v>4527</v>
      </c>
      <c r="B13" s="2" t="s">
        <v>4551</v>
      </c>
      <c r="C13" s="7" t="str">
        <f>RIGHT(A13,5)</f>
        <v>27248</v>
      </c>
      <c r="D13" s="65" t="s">
        <v>4565</v>
      </c>
    </row>
    <row r="14" spans="1:4">
      <c r="A14" s="2" t="s">
        <v>4528</v>
      </c>
      <c r="B14" s="2" t="s">
        <v>4552</v>
      </c>
      <c r="C14" s="7" t="str">
        <f>RIGHT(A14,4)</f>
        <v>8517</v>
      </c>
      <c r="D14" s="65" t="s">
        <v>4566</v>
      </c>
    </row>
    <row r="15" spans="1:4">
      <c r="A15" s="2" t="s">
        <v>4529</v>
      </c>
      <c r="B15" s="2" t="s">
        <v>4540</v>
      </c>
      <c r="C15" s="7" t="str">
        <f>RIGHT(A15,4)</f>
        <v>John</v>
      </c>
      <c r="D15" s="65" t="s">
        <v>4567</v>
      </c>
    </row>
    <row r="16" spans="1:4">
      <c r="A16" s="20">
        <v>44875</v>
      </c>
      <c r="B16" s="2" t="s">
        <v>4541</v>
      </c>
      <c r="C16" s="7" t="str">
        <f>RIGHT("11/10/2022",4)</f>
        <v>2022</v>
      </c>
      <c r="D16" s="65" t="s">
        <v>4568</v>
      </c>
    </row>
    <row r="17" spans="1:4">
      <c r="A17" s="83">
        <v>50000</v>
      </c>
      <c r="B17" s="2" t="s">
        <v>4542</v>
      </c>
      <c r="C17" s="7" t="str">
        <f>RIGHT(A17,3)</f>
        <v>000</v>
      </c>
      <c r="D17" s="65" t="s">
        <v>4569</v>
      </c>
    </row>
    <row r="19" spans="1:4">
      <c r="A19" s="1" t="s">
        <v>598</v>
      </c>
      <c r="B19" s="1" t="s">
        <v>4517</v>
      </c>
      <c r="C19" s="1" t="s">
        <v>4537</v>
      </c>
      <c r="D19" s="1" t="s">
        <v>4570</v>
      </c>
    </row>
    <row r="20" spans="1:4">
      <c r="A20" s="2" t="s">
        <v>4525</v>
      </c>
      <c r="B20" s="2" t="s">
        <v>4548</v>
      </c>
      <c r="C20" s="7" t="str">
        <f>MID(A20,20,2)</f>
        <v>of</v>
      </c>
      <c r="D20" s="65" t="s">
        <v>4571</v>
      </c>
    </row>
    <row r="21" spans="1:4">
      <c r="A21" s="2" t="s">
        <v>4526</v>
      </c>
      <c r="B21" s="2" t="s">
        <v>4543</v>
      </c>
      <c r="C21" s="7" t="str">
        <f>MID(A21,5,1)</f>
        <v>_</v>
      </c>
      <c r="D21" s="65" t="s">
        <v>4572</v>
      </c>
    </row>
    <row r="22" spans="1:4">
      <c r="A22" s="2" t="s">
        <v>4527</v>
      </c>
      <c r="B22" s="2" t="s">
        <v>4544</v>
      </c>
      <c r="C22" s="7" t="str">
        <f>MID(A22,19,14)</f>
        <v xml:space="preserve"> Franklinville</v>
      </c>
      <c r="D22" s="65" t="s">
        <v>4573</v>
      </c>
    </row>
    <row r="23" spans="1:4">
      <c r="A23" s="2" t="s">
        <v>4528</v>
      </c>
      <c r="B23" s="2" t="s">
        <v>4553</v>
      </c>
      <c r="C23" s="7" t="str">
        <f>MID(A23,5,3)</f>
        <v>872</v>
      </c>
      <c r="D23" s="65" t="s">
        <v>4574</v>
      </c>
    </row>
    <row r="24" spans="1:4">
      <c r="A24" s="2" t="s">
        <v>4529</v>
      </c>
      <c r="B24" s="2" t="s">
        <v>4545</v>
      </c>
      <c r="C24" s="7" t="str">
        <f>MID(A24,8,2)</f>
        <v>Jo</v>
      </c>
      <c r="D24" s="65" t="s">
        <v>4575</v>
      </c>
    </row>
    <row r="25" spans="1:4">
      <c r="A25" s="20">
        <v>44875</v>
      </c>
      <c r="B25" s="2" t="s">
        <v>4546</v>
      </c>
      <c r="C25" s="7" t="str">
        <f>MID("11/10/2022",4,2)</f>
        <v>10</v>
      </c>
      <c r="D25" s="65" t="s">
        <v>4576</v>
      </c>
    </row>
    <row r="26" spans="1:4">
      <c r="A26" s="83">
        <v>50000</v>
      </c>
      <c r="B26" s="2" t="s">
        <v>4547</v>
      </c>
      <c r="C26" s="7" t="str">
        <f>MID(A26,3,2)</f>
        <v>00</v>
      </c>
      <c r="D26" s="65" t="s">
        <v>4598</v>
      </c>
    </row>
  </sheetData>
  <pageMargins left="0.7" right="0.7" top="0.75" bottom="0.75" header="0.3" footer="0.3"/>
  <pageSetup orientation="portrait" horizontalDpi="4294967293" verticalDpi="0" r:id="rId1"/>
  <ignoredErrors>
    <ignoredError sqref="C13" formula="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A5D3-997F-437B-AB59-EE2B8BC3984D}">
  <sheetPr codeName="Sheet568"/>
  <dimension ref="A1:B4"/>
  <sheetViews>
    <sheetView workbookViewId="0">
      <selection activeCell="C4" sqref="C4"/>
    </sheetView>
  </sheetViews>
  <sheetFormatPr defaultRowHeight="14.4"/>
  <cols>
    <col min="1" max="1" width="26" bestFit="1" customWidth="1"/>
    <col min="2" max="2" width="20.88671875" bestFit="1" customWidth="1"/>
  </cols>
  <sheetData>
    <row r="1" spans="1:2">
      <c r="A1" s="1" t="s">
        <v>598</v>
      </c>
      <c r="B1" s="1" t="s">
        <v>4580</v>
      </c>
    </row>
    <row r="2" spans="1:2">
      <c r="A2" s="2" t="s">
        <v>4577</v>
      </c>
      <c r="B2" s="7" t="str">
        <f>LEFT(A2,SEARCH("_",A2)-1)</f>
        <v>Kevin Reed</v>
      </c>
    </row>
    <row r="3" spans="1:2">
      <c r="A3" s="243" t="s">
        <v>4578</v>
      </c>
      <c r="B3" s="7" t="str">
        <f t="shared" ref="B3:B4" si="0">LEFT(A3,SEARCH("_",A3)-1)</f>
        <v>kevin.reed@gmail.com</v>
      </c>
    </row>
    <row r="4" spans="1:2">
      <c r="A4" s="2" t="s">
        <v>4579</v>
      </c>
      <c r="B4" s="7" t="str">
        <f t="shared" si="0"/>
        <v>Kevin Reed (Team Lead)</v>
      </c>
    </row>
  </sheetData>
  <hyperlinks>
    <hyperlink ref="A3" r:id="rId1" xr:uid="{0FCBD2ED-1441-4CA1-B14B-8DBD931176EC}"/>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DE0E-6185-4667-8667-9A53BB041296}">
  <sheetPr codeName="Sheet569"/>
  <dimension ref="B1:D4"/>
  <sheetViews>
    <sheetView workbookViewId="0">
      <selection activeCell="C4" sqref="C4"/>
    </sheetView>
  </sheetViews>
  <sheetFormatPr defaultRowHeight="14.4"/>
  <cols>
    <col min="1" max="1" width="8.6640625" customWidth="1"/>
    <col min="2" max="2" width="16.5546875" bestFit="1" customWidth="1"/>
    <col min="3" max="3" width="15.44140625" bestFit="1" customWidth="1"/>
    <col min="4" max="4" width="19.88671875" bestFit="1" customWidth="1"/>
  </cols>
  <sheetData>
    <row r="1" spans="2:4">
      <c r="B1" s="1" t="s">
        <v>598</v>
      </c>
      <c r="C1" s="1" t="s">
        <v>4581</v>
      </c>
      <c r="D1" s="1" t="s">
        <v>4585</v>
      </c>
    </row>
    <row r="2" spans="2:4">
      <c r="B2" s="2" t="s">
        <v>4582</v>
      </c>
      <c r="C2" s="7" t="str">
        <f>RIGHT(B2,LEN(B2)-SEARCH(":",B2))</f>
        <v xml:space="preserve"> Wisconsin</v>
      </c>
      <c r="D2" s="7" t="str">
        <f>REPLACE(C2,1,10,RIGHT(C2,9))</f>
        <v>Wisconsin</v>
      </c>
    </row>
    <row r="3" spans="2:4">
      <c r="B3" s="2" t="s">
        <v>4583</v>
      </c>
      <c r="C3" s="7" t="str">
        <f t="shared" ref="C3:C4" si="0">RIGHT(B3,LEN(B3)-SEARCH(":",B3))</f>
        <v xml:space="preserve"> Green Bay</v>
      </c>
      <c r="D3" s="7" t="str">
        <f t="shared" ref="D3" si="1">REPLACE(C3,1,10,RIGHT(C3,9))</f>
        <v>Green Bay</v>
      </c>
    </row>
    <row r="4" spans="2:4">
      <c r="B4" s="2" t="s">
        <v>4584</v>
      </c>
      <c r="C4" s="7" t="str">
        <f t="shared" si="0"/>
        <v xml:space="preserve"> Pilgrim Way</v>
      </c>
      <c r="D4" s="7" t="str">
        <f>REPLACE(C4,1,12,RIGHT(C4,11))</f>
        <v>Pilgrim Way</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5116-29A1-46B3-B8C9-B6F2D66E7119}">
  <sheetPr codeName="Sheet570"/>
  <dimension ref="B1:D3"/>
  <sheetViews>
    <sheetView zoomScaleNormal="100" workbookViewId="0">
      <selection activeCell="C4" sqref="C4"/>
    </sheetView>
  </sheetViews>
  <sheetFormatPr defaultRowHeight="14.4"/>
  <cols>
    <col min="1" max="1" width="8.6640625" customWidth="1"/>
    <col min="2" max="2" width="34.88671875" bestFit="1" customWidth="1"/>
    <col min="3" max="3" width="52.6640625" bestFit="1" customWidth="1"/>
    <col min="4" max="4" width="13.88671875" bestFit="1" customWidth="1"/>
  </cols>
  <sheetData>
    <row r="1" spans="2:4">
      <c r="B1" s="1" t="s">
        <v>598</v>
      </c>
      <c r="C1" s="1" t="s">
        <v>4597</v>
      </c>
      <c r="D1" s="1" t="s">
        <v>4589</v>
      </c>
    </row>
    <row r="2" spans="2:4">
      <c r="B2" s="2" t="s">
        <v>4586</v>
      </c>
      <c r="C2" s="2" t="s">
        <v>4587</v>
      </c>
      <c r="D2" s="7" t="str">
        <f>MID(B2,FIND(CHAR(96),SUBSTITUTE(B2,";",CHAR(96),1))+1,FIND(CHAR(96),SUBSTITUTE(B2,";",CHAR(96),2))-FIND(CHAR(96),SUBSTITUTE(B2,";",CHAR(96),1))-1)</f>
        <v>Banana</v>
      </c>
    </row>
    <row r="3" spans="2:4">
      <c r="B3" s="2" t="s">
        <v>4590</v>
      </c>
      <c r="C3" s="2" t="s">
        <v>4588</v>
      </c>
      <c r="D3" s="7" t="str">
        <f>MID(B3,FIND(CHAR(96),SUBSTITUTE(B3,";",CHAR(96),2))+1,FIND(CHAR(96),SUBSTITUTE(B3,";",CHAR(96),4))-FIND(CHAR(96),SUBSTITUTE(B3,";",CHAR(96),2))-1)</f>
        <v>Banana;Orange</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DFFA-3DC2-4FBF-A2EA-F573D484FD21}">
  <sheetPr codeName="Sheet571"/>
  <dimension ref="A1:C4"/>
  <sheetViews>
    <sheetView workbookViewId="0">
      <selection activeCell="B2" sqref="B2"/>
    </sheetView>
  </sheetViews>
  <sheetFormatPr defaultRowHeight="14.4"/>
  <cols>
    <col min="1" max="1" width="16.109375" bestFit="1" customWidth="1"/>
    <col min="2" max="2" width="38.5546875" bestFit="1" customWidth="1"/>
    <col min="3" max="3" width="36.88671875" bestFit="1" customWidth="1"/>
  </cols>
  <sheetData>
    <row r="1" spans="1:3">
      <c r="A1" s="1" t="s">
        <v>598</v>
      </c>
      <c r="B1" s="1" t="s">
        <v>4599</v>
      </c>
      <c r="C1" s="1" t="s">
        <v>4596</v>
      </c>
    </row>
    <row r="2" spans="1:3">
      <c r="A2" s="55" t="s">
        <v>4591</v>
      </c>
      <c r="B2" s="7" t="str">
        <f>IF(ISNUMBER(SEARCH("12GH",A2)),"Present","Not Present")</f>
        <v>Present</v>
      </c>
      <c r="C2" s="7" t="str">
        <f>IF(ISNUMBER(FIND("12GH",A2)),"Present","Not Present")</f>
        <v>Present</v>
      </c>
    </row>
    <row r="3" spans="1:3">
      <c r="A3" s="55" t="s">
        <v>4593</v>
      </c>
      <c r="B3" s="7" t="str">
        <f t="shared" ref="B3:B4" si="0">IF(ISNUMBER(SEARCH("12GH",A3)),"Present","Not Present")</f>
        <v>Present</v>
      </c>
      <c r="C3" s="7" t="str">
        <f t="shared" ref="C3:C4" si="1">IF(ISNUMBER(FIND("12GH",A3)),"Present","Not Present")</f>
        <v>Not Present</v>
      </c>
    </row>
    <row r="4" spans="1:3">
      <c r="A4" s="55" t="s">
        <v>4592</v>
      </c>
      <c r="B4" s="7" t="str">
        <f t="shared" si="0"/>
        <v>Present</v>
      </c>
      <c r="C4" s="7" t="str">
        <f t="shared" si="1"/>
        <v>Present</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1F5F-11D2-4BC5-884B-BF716B1D0586}">
  <sheetPr codeName="Sheet572"/>
  <dimension ref="A1:B2"/>
  <sheetViews>
    <sheetView workbookViewId="0"/>
  </sheetViews>
  <sheetFormatPr defaultRowHeight="14.4"/>
  <cols>
    <col min="1" max="1" width="19.5546875" bestFit="1" customWidth="1"/>
    <col min="2" max="2" width="20.109375" bestFit="1" customWidth="1"/>
  </cols>
  <sheetData>
    <row r="1" spans="1:2">
      <c r="A1" s="1" t="s">
        <v>598</v>
      </c>
      <c r="B1" s="1" t="s">
        <v>4595</v>
      </c>
    </row>
    <row r="2" spans="1:2">
      <c r="A2" s="2" t="s">
        <v>4594</v>
      </c>
      <c r="B2" s="7" t="str">
        <f>LEFT(A2,SEARCH(" ",A2)-1)</f>
        <v>Christopher</v>
      </c>
    </row>
  </sheetData>
  <pageMargins left="0.7" right="0.7" top="0.75" bottom="0.75" header="0.3" footer="0.3"/>
  <pageSetup orientation="portrait" horizontalDpi="4294967293" verticalDpi="0"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6A0A-A163-4E8A-8C0A-E2842254D331}">
  <sheetPr codeName="Sheet573"/>
  <dimension ref="A1:D10"/>
  <sheetViews>
    <sheetView workbookViewId="0">
      <selection activeCell="B2" sqref="B2"/>
    </sheetView>
  </sheetViews>
  <sheetFormatPr defaultRowHeight="14.4"/>
  <cols>
    <col min="1" max="1" width="22.109375" bestFit="1" customWidth="1"/>
    <col min="2" max="2" width="23.6640625" bestFit="1" customWidth="1"/>
    <col min="3" max="3" width="21.44140625" bestFit="1" customWidth="1"/>
    <col min="4" max="4" width="34.88671875" bestFit="1" customWidth="1"/>
  </cols>
  <sheetData>
    <row r="1" spans="1:4">
      <c r="A1" s="1" t="s">
        <v>598</v>
      </c>
      <c r="B1" s="1" t="s">
        <v>4600</v>
      </c>
      <c r="C1" s="1" t="s">
        <v>4610</v>
      </c>
      <c r="D1" s="1" t="s">
        <v>1145</v>
      </c>
    </row>
    <row r="2" spans="1:4">
      <c r="A2" s="292" t="s">
        <v>4602</v>
      </c>
      <c r="B2" s="294">
        <f>VALUE(A2)</f>
        <v>550</v>
      </c>
      <c r="C2" s="7" t="s">
        <v>4611</v>
      </c>
      <c r="D2" s="65" t="s">
        <v>4605</v>
      </c>
    </row>
    <row r="3" spans="1:4">
      <c r="A3" s="291">
        <v>44562</v>
      </c>
      <c r="B3" s="295">
        <f>VALUE(A3)</f>
        <v>44562</v>
      </c>
      <c r="C3" s="66" t="s">
        <v>670</v>
      </c>
      <c r="D3" s="65" t="s">
        <v>4606</v>
      </c>
    </row>
    <row r="4" spans="1:4">
      <c r="A4" s="65" t="s">
        <v>4603</v>
      </c>
      <c r="B4" s="294">
        <f>VALUE(RIGHT(A4,4))</f>
        <v>2310</v>
      </c>
      <c r="C4" s="7" t="s">
        <v>4611</v>
      </c>
      <c r="D4" s="65" t="s">
        <v>4607</v>
      </c>
    </row>
    <row r="5" spans="1:4">
      <c r="A5" s="293" t="s">
        <v>4601</v>
      </c>
      <c r="B5" s="296">
        <f>A5*1</f>
        <v>3000</v>
      </c>
      <c r="C5" s="87" t="s">
        <v>20</v>
      </c>
      <c r="D5" s="65" t="s">
        <v>4608</v>
      </c>
    </row>
    <row r="6" spans="1:4">
      <c r="A6" s="292" t="s">
        <v>4604</v>
      </c>
      <c r="B6" s="297">
        <f>A6+0</f>
        <v>1.08</v>
      </c>
      <c r="C6" s="62" t="s">
        <v>610</v>
      </c>
      <c r="D6" s="65" t="s">
        <v>4609</v>
      </c>
    </row>
    <row r="10" spans="1:4">
      <c r="A10" s="289"/>
    </row>
  </sheetData>
  <pageMargins left="0.7" right="0.7" top="0.75" bottom="0.75" header="0.3" footer="0.3"/>
  <pageSetup orientation="portrait" horizontalDpi="4294967293" verticalDpi="0"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228D-4A53-41A6-AB83-4B7EB58FD6C0}">
  <sheetPr codeName="Sheet574"/>
  <dimension ref="A1:D4"/>
  <sheetViews>
    <sheetView workbookViewId="0">
      <selection activeCell="B2" sqref="B2"/>
    </sheetView>
  </sheetViews>
  <sheetFormatPr defaultRowHeight="14.4"/>
  <cols>
    <col min="1" max="1" width="11.44140625" bestFit="1" customWidth="1"/>
    <col min="2" max="2" width="21.5546875" bestFit="1" customWidth="1"/>
    <col min="3" max="3" width="23.6640625" bestFit="1" customWidth="1"/>
    <col min="4" max="4" width="21.5546875" bestFit="1" customWidth="1"/>
  </cols>
  <sheetData>
    <row r="1" spans="1:4">
      <c r="A1" s="68" t="s">
        <v>598</v>
      </c>
      <c r="B1" s="68" t="s">
        <v>4615</v>
      </c>
      <c r="C1" s="1" t="s">
        <v>4600</v>
      </c>
      <c r="D1" s="68" t="s">
        <v>4616</v>
      </c>
    </row>
    <row r="2" spans="1:4">
      <c r="A2" s="290" t="s">
        <v>4612</v>
      </c>
      <c r="B2" s="2" t="s">
        <v>4611</v>
      </c>
      <c r="C2" s="294">
        <f>VALUE(A2)</f>
        <v>9200</v>
      </c>
      <c r="D2" s="2" t="s">
        <v>4611</v>
      </c>
    </row>
    <row r="3" spans="1:4">
      <c r="A3" s="298" t="s">
        <v>4613</v>
      </c>
      <c r="B3" s="2" t="s">
        <v>1633</v>
      </c>
      <c r="C3" s="295">
        <f>VALUE(A3)</f>
        <v>44601</v>
      </c>
      <c r="D3" s="2" t="s">
        <v>670</v>
      </c>
    </row>
    <row r="4" spans="1:4">
      <c r="A4" s="299" t="s">
        <v>4614</v>
      </c>
      <c r="B4" s="2" t="s">
        <v>1633</v>
      </c>
      <c r="C4" s="300">
        <f>VALUE(A4)</f>
        <v>8340</v>
      </c>
      <c r="D4" s="2" t="s">
        <v>20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5C3C-267C-4BC9-920B-A1FF9F8C2DC3}">
  <sheetPr codeName="Sheet575"/>
  <dimension ref="A1:B11"/>
  <sheetViews>
    <sheetView workbookViewId="0">
      <selection activeCell="B2" sqref="B2"/>
    </sheetView>
  </sheetViews>
  <sheetFormatPr defaultRowHeight="14.4"/>
  <cols>
    <col min="1" max="1" width="15.109375" bestFit="1" customWidth="1"/>
    <col min="2" max="2" width="26.6640625" bestFit="1" customWidth="1"/>
  </cols>
  <sheetData>
    <row r="1" spans="1:2">
      <c r="A1" s="1" t="s">
        <v>0</v>
      </c>
      <c r="B1" s="1" t="s">
        <v>3680</v>
      </c>
    </row>
    <row r="2" spans="1:2">
      <c r="A2" s="3" t="s">
        <v>4617</v>
      </c>
      <c r="B2" s="21">
        <v>95</v>
      </c>
    </row>
    <row r="3" spans="1:2">
      <c r="A3" s="3" t="s">
        <v>4618</v>
      </c>
      <c r="B3" s="21">
        <v>99</v>
      </c>
    </row>
    <row r="4" spans="1:2">
      <c r="A4" s="3" t="s">
        <v>4619</v>
      </c>
      <c r="B4" s="21">
        <v>100</v>
      </c>
    </row>
    <row r="5" spans="1:2">
      <c r="A5" s="3" t="s">
        <v>4620</v>
      </c>
      <c r="B5" s="21">
        <v>85</v>
      </c>
    </row>
    <row r="6" spans="1:2">
      <c r="A6" s="3" t="s">
        <v>4621</v>
      </c>
      <c r="B6" s="21">
        <v>88</v>
      </c>
    </row>
    <row r="7" spans="1:2">
      <c r="A7" s="3" t="s">
        <v>4622</v>
      </c>
      <c r="B7" s="21">
        <v>65</v>
      </c>
    </row>
    <row r="8" spans="1:2">
      <c r="A8" s="3" t="s">
        <v>4623</v>
      </c>
      <c r="B8" s="21">
        <v>75</v>
      </c>
    </row>
    <row r="9" spans="1:2">
      <c r="A9" s="3" t="s">
        <v>4624</v>
      </c>
      <c r="B9" s="21">
        <v>90</v>
      </c>
    </row>
    <row r="10" spans="1:2">
      <c r="A10" s="3" t="s">
        <v>4625</v>
      </c>
      <c r="B10" s="21">
        <v>93</v>
      </c>
    </row>
    <row r="11" spans="1:2">
      <c r="A11" s="3" t="s">
        <v>4626</v>
      </c>
      <c r="B11" s="21">
        <v>97</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B675-37C8-4CDB-8415-75DE5AE45D6F}">
  <sheetPr codeName="Sheet576"/>
  <dimension ref="A1:D8"/>
  <sheetViews>
    <sheetView workbookViewId="0">
      <selection activeCell="B2" sqref="B2"/>
    </sheetView>
  </sheetViews>
  <sheetFormatPr defaultRowHeight="14.4"/>
  <cols>
    <col min="1" max="1" width="25.88671875" bestFit="1" customWidth="1"/>
    <col min="2" max="2" width="23.109375" bestFit="1" customWidth="1"/>
    <col min="4" max="4" width="19.6640625" bestFit="1" customWidth="1"/>
  </cols>
  <sheetData>
    <row r="1" spans="1:4">
      <c r="A1" s="1" t="s">
        <v>32</v>
      </c>
      <c r="B1" s="1" t="s">
        <v>4627</v>
      </c>
      <c r="D1" s="1" t="s">
        <v>4629</v>
      </c>
    </row>
    <row r="2" spans="1:4">
      <c r="A2" s="21" t="s">
        <v>307</v>
      </c>
      <c r="B2" s="301">
        <v>2500</v>
      </c>
      <c r="D2" s="2">
        <v>1</v>
      </c>
    </row>
    <row r="3" spans="1:4">
      <c r="A3" s="2" t="s">
        <v>308</v>
      </c>
      <c r="B3" s="301">
        <v>2200</v>
      </c>
    </row>
    <row r="4" spans="1:4">
      <c r="A4" s="21" t="s">
        <v>309</v>
      </c>
      <c r="B4" s="301">
        <v>2600</v>
      </c>
    </row>
    <row r="5" spans="1:4">
      <c r="A5" s="2" t="s">
        <v>310</v>
      </c>
      <c r="B5" s="301">
        <v>2700</v>
      </c>
    </row>
    <row r="6" spans="1:4">
      <c r="A6" s="21" t="s">
        <v>51</v>
      </c>
      <c r="B6" s="301">
        <v>2100</v>
      </c>
    </row>
    <row r="7" spans="1:4">
      <c r="A7" s="2" t="s">
        <v>311</v>
      </c>
      <c r="B7" s="301">
        <v>2400</v>
      </c>
    </row>
    <row r="8" spans="1:4">
      <c r="A8" s="1" t="s">
        <v>4628</v>
      </c>
      <c r="B8" s="302">
        <f>SUM(B2:B7)</f>
        <v>14500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2AAF-1A6A-4BA3-8ECF-49275C070A14}">
  <sheetPr codeName="Sheet577"/>
  <dimension ref="A1:D6"/>
  <sheetViews>
    <sheetView workbookViewId="0">
      <selection activeCell="B2" sqref="B2"/>
    </sheetView>
  </sheetViews>
  <sheetFormatPr defaultRowHeight="14.4"/>
  <cols>
    <col min="1" max="1" width="28.88671875" bestFit="1" customWidth="1"/>
    <col min="2" max="2" width="14.33203125" bestFit="1" customWidth="1"/>
    <col min="3" max="3" width="11.88671875" bestFit="1" customWidth="1"/>
    <col min="4" max="4" width="6.44140625" bestFit="1" customWidth="1"/>
  </cols>
  <sheetData>
    <row r="1" spans="1:4">
      <c r="A1" s="1" t="s">
        <v>4641</v>
      </c>
      <c r="B1" s="1" t="s">
        <v>4653</v>
      </c>
      <c r="C1" s="1" t="s">
        <v>4630</v>
      </c>
      <c r="D1" s="1" t="s">
        <v>4654</v>
      </c>
    </row>
    <row r="2" spans="1:4">
      <c r="A2" s="2" t="s">
        <v>4631</v>
      </c>
      <c r="B2" s="2" t="s">
        <v>4648</v>
      </c>
      <c r="C2" s="2" t="s">
        <v>4632</v>
      </c>
      <c r="D2" s="21">
        <v>53.75</v>
      </c>
    </row>
    <row r="3" spans="1:4">
      <c r="A3" s="2" t="s">
        <v>4633</v>
      </c>
      <c r="B3" s="2" t="s">
        <v>4649</v>
      </c>
      <c r="C3" s="2" t="s">
        <v>4634</v>
      </c>
      <c r="D3" s="21">
        <v>37.119999999999997</v>
      </c>
    </row>
    <row r="4" spans="1:4">
      <c r="A4" s="2" t="s">
        <v>4635</v>
      </c>
      <c r="B4" s="2" t="s">
        <v>4650</v>
      </c>
      <c r="C4" s="2" t="s">
        <v>4636</v>
      </c>
      <c r="D4" s="21">
        <v>29.02</v>
      </c>
    </row>
    <row r="5" spans="1:4">
      <c r="A5" s="2" t="s">
        <v>4637</v>
      </c>
      <c r="B5" s="2" t="s">
        <v>4651</v>
      </c>
      <c r="C5" s="2" t="s">
        <v>4638</v>
      </c>
      <c r="D5" s="21">
        <v>26.7</v>
      </c>
    </row>
    <row r="6" spans="1:4">
      <c r="A6" s="2" t="s">
        <v>4639</v>
      </c>
      <c r="B6" s="2" t="s">
        <v>4652</v>
      </c>
      <c r="C6" s="2" t="s">
        <v>4640</v>
      </c>
      <c r="D6" s="21">
        <v>25.82</v>
      </c>
    </row>
  </sheetData>
  <pageMargins left="0.7" right="0.7" top="0.75" bottom="0.75" header="0.3" footer="0.3"/>
  <pageSetup orientation="portrait" horizontalDpi="4294967293" verticalDpi="0" r:id="rId1"/>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0D27-1B6D-4A1D-B616-FD28745B6FEA}">
  <sheetPr codeName="Sheet578"/>
  <dimension ref="A1:B5"/>
  <sheetViews>
    <sheetView workbookViewId="0">
      <selection activeCell="B2" sqref="B2"/>
    </sheetView>
  </sheetViews>
  <sheetFormatPr defaultRowHeight="14.4"/>
  <cols>
    <col min="1" max="1" width="16.88671875" bestFit="1" customWidth="1"/>
    <col min="2" max="2" width="13.109375" bestFit="1" customWidth="1"/>
  </cols>
  <sheetData>
    <row r="1" spans="1:2">
      <c r="A1" s="1" t="s">
        <v>4642</v>
      </c>
      <c r="B1" s="1" t="s">
        <v>617</v>
      </c>
    </row>
    <row r="2" spans="1:2">
      <c r="A2" s="303">
        <v>44907</v>
      </c>
      <c r="B2" s="66">
        <f>VALUE(A2)</f>
        <v>44907</v>
      </c>
    </row>
    <row r="3" spans="1:2">
      <c r="A3" s="304" t="s">
        <v>4643</v>
      </c>
      <c r="B3" s="305">
        <f>VALUE(A3)</f>
        <v>0.875</v>
      </c>
    </row>
    <row r="4" spans="1:2">
      <c r="A4" s="83">
        <v>5000</v>
      </c>
      <c r="B4" s="67">
        <f>VALUE("$5,000")</f>
        <v>5000</v>
      </c>
    </row>
    <row r="5" spans="1:2">
      <c r="A5" s="2" t="s">
        <v>4644</v>
      </c>
      <c r="B5" s="7">
        <f>VALUE(LEFT(A5,4))</f>
        <v>1345</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38CD-461A-4C0F-B3D3-61FADAB6D688}">
  <sheetPr codeName="Sheet579"/>
  <dimension ref="B1:C4"/>
  <sheetViews>
    <sheetView workbookViewId="0">
      <selection activeCell="B2" sqref="B2"/>
    </sheetView>
  </sheetViews>
  <sheetFormatPr defaultRowHeight="14.4"/>
  <cols>
    <col min="2" max="2" width="16.88671875" bestFit="1" customWidth="1"/>
    <col min="3" max="3" width="13.109375" bestFit="1" customWidth="1"/>
  </cols>
  <sheetData>
    <row r="1" spans="2:3">
      <c r="B1" s="1" t="s">
        <v>4642</v>
      </c>
      <c r="C1" s="1" t="s">
        <v>617</v>
      </c>
    </row>
    <row r="2" spans="2:3">
      <c r="B2" s="21" t="s">
        <v>4645</v>
      </c>
      <c r="C2" s="67">
        <f>B2*1</f>
        <v>3500</v>
      </c>
    </row>
    <row r="3" spans="2:3">
      <c r="B3" s="21" t="s">
        <v>4646</v>
      </c>
      <c r="C3" s="62">
        <f>B3+0</f>
        <v>0.6</v>
      </c>
    </row>
    <row r="4" spans="2:3">
      <c r="B4" s="21" t="s">
        <v>4647</v>
      </c>
      <c r="C4" s="7">
        <f>B4/1</f>
        <v>1938</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2EEF-8B2F-4B40-A4DE-CD2D3BAE27F1}">
  <sheetPr codeName="Sheet580"/>
  <dimension ref="A1:C3"/>
  <sheetViews>
    <sheetView workbookViewId="0"/>
  </sheetViews>
  <sheetFormatPr defaultRowHeight="14.4"/>
  <cols>
    <col min="1" max="1" width="12.5546875" bestFit="1" customWidth="1"/>
    <col min="2" max="2" width="13.109375" bestFit="1" customWidth="1"/>
    <col min="3" max="3" width="22.88671875" bestFit="1" customWidth="1"/>
  </cols>
  <sheetData>
    <row r="1" spans="1:3">
      <c r="A1" s="1" t="s">
        <v>4642</v>
      </c>
      <c r="B1" s="1" t="s">
        <v>617</v>
      </c>
      <c r="C1" s="1" t="s">
        <v>4657</v>
      </c>
    </row>
    <row r="2" spans="1:3">
      <c r="A2" s="21" t="s">
        <v>4655</v>
      </c>
      <c r="B2" s="7">
        <v>2000</v>
      </c>
      <c r="C2" s="2" t="s">
        <v>4611</v>
      </c>
    </row>
    <row r="3" spans="1:3">
      <c r="A3" s="21" t="s">
        <v>4656</v>
      </c>
      <c r="B3" s="67">
        <v>50</v>
      </c>
      <c r="C3" s="2" t="s">
        <v>20</v>
      </c>
    </row>
  </sheetData>
  <pageMargins left="0.7" right="0.7" top="0.75" bottom="0.75" header="0.3" footer="0.3"/>
  <pageSetup orientation="portrait" horizontalDpi="4294967293" verticalDpi="0" r:id="rId1"/>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E961-2937-4236-AB74-E0661EF4B91E}">
  <sheetPr codeName="Sheet581"/>
  <dimension ref="A1:E6"/>
  <sheetViews>
    <sheetView workbookViewId="0">
      <selection activeCell="D2" sqref="D2"/>
    </sheetView>
  </sheetViews>
  <sheetFormatPr defaultRowHeight="14.4"/>
  <cols>
    <col min="1" max="1" width="5.6640625" customWidth="1"/>
    <col min="2" max="2" width="21.88671875" bestFit="1" customWidth="1"/>
    <col min="3" max="3" width="18.5546875" bestFit="1" customWidth="1"/>
    <col min="4" max="4" width="34.88671875" bestFit="1" customWidth="1"/>
    <col min="5" max="5" width="27" bestFit="1" customWidth="1"/>
  </cols>
  <sheetData>
    <row r="1" spans="1:5">
      <c r="A1" s="1" t="s">
        <v>33</v>
      </c>
      <c r="B1" s="1" t="s">
        <v>4658</v>
      </c>
      <c r="C1" s="1" t="s">
        <v>4659</v>
      </c>
      <c r="D1" s="1" t="s">
        <v>4698</v>
      </c>
      <c r="E1" s="1" t="s">
        <v>1977</v>
      </c>
    </row>
    <row r="2" spans="1:5">
      <c r="A2" s="2">
        <v>2017</v>
      </c>
      <c r="B2" s="95">
        <v>325050756</v>
      </c>
      <c r="C2" s="95">
        <v>325084756</v>
      </c>
      <c r="D2" s="62">
        <f>(C2-B2)/B2</f>
        <v>1.0459904914049792E-4</v>
      </c>
      <c r="E2" s="65" t="s">
        <v>4660</v>
      </c>
    </row>
    <row r="3" spans="1:5">
      <c r="A3" s="2">
        <v>2018</v>
      </c>
      <c r="B3" s="95">
        <v>327091265</v>
      </c>
      <c r="C3" s="95">
        <v>327096265</v>
      </c>
      <c r="D3" s="62">
        <f t="shared" ref="D3:D6" si="0">(C3-B3)/B3</f>
        <v>1.5286253517042102E-5</v>
      </c>
      <c r="E3" s="65" t="s">
        <v>4661</v>
      </c>
    </row>
    <row r="4" spans="1:5">
      <c r="A4" s="2">
        <v>2019</v>
      </c>
      <c r="B4" s="95">
        <v>329024917</v>
      </c>
      <c r="C4" s="95">
        <v>329064917</v>
      </c>
      <c r="D4" s="62">
        <f t="shared" si="0"/>
        <v>1.2157133983867854E-4</v>
      </c>
      <c r="E4" s="65" t="s">
        <v>4662</v>
      </c>
    </row>
    <row r="5" spans="1:5">
      <c r="A5" s="2">
        <v>2020</v>
      </c>
      <c r="B5" s="95">
        <v>332242651</v>
      </c>
      <c r="C5" s="95">
        <v>331002651</v>
      </c>
      <c r="D5" s="62">
        <f t="shared" si="0"/>
        <v>-3.7322119729895848E-3</v>
      </c>
      <c r="E5" s="65" t="s">
        <v>4663</v>
      </c>
    </row>
    <row r="6" spans="1:5">
      <c r="A6" s="2">
        <v>2021</v>
      </c>
      <c r="B6" s="95">
        <v>332835073</v>
      </c>
      <c r="C6" s="95">
        <v>332915073</v>
      </c>
      <c r="D6" s="62">
        <f t="shared" si="0"/>
        <v>2.4035928449163169E-4</v>
      </c>
      <c r="E6" s="65" t="s">
        <v>4664</v>
      </c>
    </row>
  </sheetData>
  <pageMargins left="0.7" right="0.7" top="0.75" bottom="0.75" header="0.3" footer="0.3"/>
  <pageSetup orientation="portrait" horizontalDpi="4294967293" verticalDpi="0" r:id="rId1"/>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3AE9-1652-4FD2-8DA9-CBFEFB875ACD}">
  <sheetPr codeName="Sheet582"/>
  <dimension ref="B2:F12"/>
  <sheetViews>
    <sheetView zoomScaleNormal="100" workbookViewId="0">
      <selection activeCell="D2" sqref="D2"/>
    </sheetView>
  </sheetViews>
  <sheetFormatPr defaultRowHeight="14.4"/>
  <cols>
    <col min="2" max="2" width="9.33203125" bestFit="1" customWidth="1"/>
    <col min="3" max="3" width="18.109375" customWidth="1"/>
    <col min="4" max="4" width="17.6640625" bestFit="1" customWidth="1"/>
    <col min="5" max="5" width="38.88671875" bestFit="1" customWidth="1"/>
    <col min="6" max="6" width="30.44140625" customWidth="1"/>
  </cols>
  <sheetData>
    <row r="2" spans="2:6" ht="57.6">
      <c r="B2" s="1" t="s">
        <v>2232</v>
      </c>
      <c r="C2" s="8" t="s">
        <v>4675</v>
      </c>
      <c r="D2" s="8" t="s">
        <v>4676</v>
      </c>
      <c r="E2" s="8" t="s">
        <v>4699</v>
      </c>
      <c r="F2" s="8" t="s">
        <v>4700</v>
      </c>
    </row>
    <row r="3" spans="2:6">
      <c r="B3" s="2" t="s">
        <v>4665</v>
      </c>
      <c r="C3" s="2">
        <v>35</v>
      </c>
      <c r="D3" s="2">
        <v>33</v>
      </c>
      <c r="E3" s="62">
        <f>(D3-C3)/C3</f>
        <v>-5.7142857142857141E-2</v>
      </c>
      <c r="F3" s="62">
        <f>D3/C3-1</f>
        <v>-5.7142857142857162E-2</v>
      </c>
    </row>
    <row r="4" spans="2:6">
      <c r="B4" s="2" t="s">
        <v>4666</v>
      </c>
      <c r="C4" s="2">
        <v>38</v>
      </c>
      <c r="D4" s="2">
        <v>36</v>
      </c>
      <c r="E4" s="62">
        <f t="shared" ref="E4:E12" si="0">(D4-C4)/C4</f>
        <v>-5.2631578947368418E-2</v>
      </c>
      <c r="F4" s="62">
        <f t="shared" ref="F4:F12" si="1">D4/C4-1</f>
        <v>-5.2631578947368474E-2</v>
      </c>
    </row>
    <row r="5" spans="2:6">
      <c r="B5" s="2" t="s">
        <v>4667</v>
      </c>
      <c r="C5" s="2">
        <v>40</v>
      </c>
      <c r="D5" s="2">
        <v>40</v>
      </c>
      <c r="E5" s="62">
        <f t="shared" si="0"/>
        <v>0</v>
      </c>
      <c r="F5" s="62">
        <f t="shared" si="1"/>
        <v>0</v>
      </c>
    </row>
    <row r="6" spans="2:6">
      <c r="B6" s="2" t="s">
        <v>4668</v>
      </c>
      <c r="C6" s="2">
        <v>32</v>
      </c>
      <c r="D6" s="2">
        <v>31</v>
      </c>
      <c r="E6" s="62">
        <f t="shared" si="0"/>
        <v>-3.125E-2</v>
      </c>
      <c r="F6" s="62">
        <f t="shared" si="1"/>
        <v>-3.125E-2</v>
      </c>
    </row>
    <row r="7" spans="2:6">
      <c r="B7" s="2" t="s">
        <v>4669</v>
      </c>
      <c r="C7" s="2">
        <v>33</v>
      </c>
      <c r="D7" s="2">
        <v>35</v>
      </c>
      <c r="E7" s="62">
        <f t="shared" si="0"/>
        <v>6.0606060606060608E-2</v>
      </c>
      <c r="F7" s="62">
        <f t="shared" si="1"/>
        <v>6.0606060606060552E-2</v>
      </c>
    </row>
    <row r="8" spans="2:6">
      <c r="B8" s="2" t="s">
        <v>4670</v>
      </c>
      <c r="C8" s="2">
        <v>35</v>
      </c>
      <c r="D8" s="2">
        <v>30</v>
      </c>
      <c r="E8" s="62">
        <f t="shared" si="0"/>
        <v>-0.14285714285714285</v>
      </c>
      <c r="F8" s="62">
        <f t="shared" si="1"/>
        <v>-0.1428571428571429</v>
      </c>
    </row>
    <row r="9" spans="2:6">
      <c r="B9" s="2" t="s">
        <v>4671</v>
      </c>
      <c r="C9" s="2">
        <v>36</v>
      </c>
      <c r="D9" s="2">
        <v>35</v>
      </c>
      <c r="E9" s="62">
        <f t="shared" si="0"/>
        <v>-2.7777777777777776E-2</v>
      </c>
      <c r="F9" s="62">
        <f t="shared" si="1"/>
        <v>-2.777777777777779E-2</v>
      </c>
    </row>
    <row r="10" spans="2:6">
      <c r="B10" s="2" t="s">
        <v>4672</v>
      </c>
      <c r="C10" s="2">
        <v>33</v>
      </c>
      <c r="D10" s="2">
        <v>36</v>
      </c>
      <c r="E10" s="62">
        <f t="shared" si="0"/>
        <v>9.0909090909090912E-2</v>
      </c>
      <c r="F10" s="62">
        <f t="shared" si="1"/>
        <v>9.0909090909090828E-2</v>
      </c>
    </row>
    <row r="11" spans="2:6">
      <c r="B11" s="2" t="s">
        <v>4673</v>
      </c>
      <c r="C11" s="2">
        <v>39</v>
      </c>
      <c r="D11" s="2">
        <v>31</v>
      </c>
      <c r="E11" s="62">
        <f t="shared" si="0"/>
        <v>-0.20512820512820512</v>
      </c>
      <c r="F11" s="62">
        <f t="shared" si="1"/>
        <v>-0.20512820512820518</v>
      </c>
    </row>
    <row r="12" spans="2:6">
      <c r="B12" s="2" t="s">
        <v>4674</v>
      </c>
      <c r="C12" s="2">
        <v>34</v>
      </c>
      <c r="D12" s="2">
        <v>30</v>
      </c>
      <c r="E12" s="62">
        <f t="shared" si="0"/>
        <v>-0.11764705882352941</v>
      </c>
      <c r="F12" s="62">
        <f t="shared" si="1"/>
        <v>-0.11764705882352944</v>
      </c>
    </row>
  </sheetData>
  <pageMargins left="0.7" right="0.7" top="0.75" bottom="0.75" header="0.3" footer="0.3"/>
  <pageSetup orientation="portrait" horizontalDpi="4294967293" verticalDpi="0"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CC193-7872-4395-92A8-3CA83CEC9606}">
  <sheetPr codeName="Sheet583"/>
  <dimension ref="B2:E7"/>
  <sheetViews>
    <sheetView workbookViewId="0">
      <selection activeCell="D2" sqref="D2"/>
    </sheetView>
  </sheetViews>
  <sheetFormatPr defaultRowHeight="14.4"/>
  <cols>
    <col min="3" max="3" width="13.5546875" bestFit="1" customWidth="1"/>
    <col min="4" max="4" width="33.88671875" bestFit="1" customWidth="1"/>
    <col min="5" max="5" width="17.88671875" bestFit="1" customWidth="1"/>
  </cols>
  <sheetData>
    <row r="2" spans="2:5">
      <c r="B2" s="1" t="s">
        <v>201</v>
      </c>
      <c r="C2" s="1" t="s">
        <v>4678</v>
      </c>
      <c r="D2" s="1" t="s">
        <v>4701</v>
      </c>
      <c r="E2" s="1" t="s">
        <v>4677</v>
      </c>
    </row>
    <row r="3" spans="2:5">
      <c r="B3" s="2" t="s">
        <v>3477</v>
      </c>
      <c r="C3" s="53">
        <v>100</v>
      </c>
      <c r="D3" s="15">
        <v>0.1</v>
      </c>
      <c r="E3" s="67">
        <f>C3*(1+D3)</f>
        <v>110.00000000000001</v>
      </c>
    </row>
    <row r="4" spans="2:5">
      <c r="B4" s="2" t="s">
        <v>3478</v>
      </c>
      <c r="C4" s="53">
        <v>120</v>
      </c>
      <c r="D4" s="15">
        <v>-0.05</v>
      </c>
      <c r="E4" s="67">
        <f t="shared" ref="E4:E7" si="0">C4*(1+D4)</f>
        <v>114</v>
      </c>
    </row>
    <row r="5" spans="2:5">
      <c r="B5" s="2" t="s">
        <v>3479</v>
      </c>
      <c r="C5" s="53">
        <v>95</v>
      </c>
      <c r="D5" s="15">
        <v>0.13</v>
      </c>
      <c r="E5" s="67">
        <f t="shared" si="0"/>
        <v>107.35</v>
      </c>
    </row>
    <row r="6" spans="2:5">
      <c r="B6" s="2" t="s">
        <v>3480</v>
      </c>
      <c r="C6" s="53">
        <v>290</v>
      </c>
      <c r="D6" s="15">
        <v>0.2</v>
      </c>
      <c r="E6" s="67">
        <f t="shared" si="0"/>
        <v>348</v>
      </c>
    </row>
    <row r="7" spans="2:5">
      <c r="B7" s="2" t="s">
        <v>3584</v>
      </c>
      <c r="C7" s="53">
        <v>250</v>
      </c>
      <c r="D7" s="15">
        <v>-0.25</v>
      </c>
      <c r="E7" s="67">
        <f t="shared" si="0"/>
        <v>187.5</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193E-DE45-4687-8D8A-3E3C2A2AD472}">
  <sheetPr codeName="Sheet584"/>
  <dimension ref="B2:C15"/>
  <sheetViews>
    <sheetView workbookViewId="0">
      <selection activeCell="D2" sqref="D2"/>
    </sheetView>
  </sheetViews>
  <sheetFormatPr defaultRowHeight="14.4"/>
  <cols>
    <col min="2" max="2" width="33.88671875" bestFit="1" customWidth="1"/>
    <col min="3" max="3" width="17.88671875" bestFit="1" customWidth="1"/>
  </cols>
  <sheetData>
    <row r="2" spans="2:3">
      <c r="B2" s="1" t="s">
        <v>201</v>
      </c>
      <c r="C2" s="1" t="s">
        <v>4678</v>
      </c>
    </row>
    <row r="3" spans="2:3">
      <c r="B3" s="2" t="s">
        <v>3477</v>
      </c>
      <c r="C3" s="53">
        <v>100</v>
      </c>
    </row>
    <row r="4" spans="2:3">
      <c r="B4" s="2" t="s">
        <v>3478</v>
      </c>
      <c r="C4" s="53">
        <v>120</v>
      </c>
    </row>
    <row r="5" spans="2:3">
      <c r="B5" s="2" t="s">
        <v>3479</v>
      </c>
      <c r="C5" s="53">
        <v>95</v>
      </c>
    </row>
    <row r="6" spans="2:3">
      <c r="B6" s="2" t="s">
        <v>3480</v>
      </c>
      <c r="C6" s="53">
        <v>290</v>
      </c>
    </row>
    <row r="7" spans="2:3">
      <c r="B7" s="2" t="s">
        <v>3584</v>
      </c>
      <c r="C7" s="53">
        <v>250</v>
      </c>
    </row>
    <row r="9" spans="2:3">
      <c r="B9" s="1" t="s">
        <v>4701</v>
      </c>
      <c r="C9" s="15">
        <v>0.08</v>
      </c>
    </row>
    <row r="10" spans="2:3">
      <c r="B10" s="1" t="s">
        <v>201</v>
      </c>
      <c r="C10" s="1" t="s">
        <v>4677</v>
      </c>
    </row>
    <row r="11" spans="2:3">
      <c r="B11" s="2" t="s">
        <v>3477</v>
      </c>
      <c r="C11" s="67">
        <f>C3*(1+$C$9)</f>
        <v>108</v>
      </c>
    </row>
    <row r="12" spans="2:3">
      <c r="B12" s="2" t="s">
        <v>3478</v>
      </c>
      <c r="C12" s="67">
        <f t="shared" ref="C12:C15" si="0">C4*(1+$C$9)</f>
        <v>129.60000000000002</v>
      </c>
    </row>
    <row r="13" spans="2:3">
      <c r="B13" s="2" t="s">
        <v>3479</v>
      </c>
      <c r="C13" s="67">
        <f t="shared" si="0"/>
        <v>102.60000000000001</v>
      </c>
    </row>
    <row r="14" spans="2:3">
      <c r="B14" s="2" t="s">
        <v>3480</v>
      </c>
      <c r="C14" s="67">
        <f t="shared" si="0"/>
        <v>313.20000000000005</v>
      </c>
    </row>
    <row r="15" spans="2:3">
      <c r="B15" s="2" t="s">
        <v>3584</v>
      </c>
      <c r="C15" s="67">
        <f t="shared" si="0"/>
        <v>270</v>
      </c>
    </row>
  </sheetData>
  <pageMargins left="0.7" right="0.7" top="0.75" bottom="0.75" header="0.3" footer="0.3"/>
  <pageSetup orientation="portrait" horizontalDpi="4294967293" verticalDpi="0" r:id="rId1"/>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91C-F48D-418F-A948-88A07CC98DB6}">
  <sheetPr codeName="Sheet585"/>
  <dimension ref="B2:F8"/>
  <sheetViews>
    <sheetView workbookViewId="0">
      <selection activeCell="D2" sqref="D2"/>
    </sheetView>
  </sheetViews>
  <sheetFormatPr defaultRowHeight="14.4"/>
  <cols>
    <col min="2" max="2" width="6.5546875" bestFit="1" customWidth="1"/>
    <col min="3" max="3" width="28.5546875" bestFit="1" customWidth="1"/>
    <col min="4" max="4" width="25.44140625" bestFit="1" customWidth="1"/>
    <col min="5" max="5" width="30.88671875" bestFit="1" customWidth="1"/>
    <col min="6" max="6" width="44.109375" bestFit="1" customWidth="1"/>
  </cols>
  <sheetData>
    <row r="2" spans="2:6">
      <c r="B2" s="1" t="s">
        <v>32</v>
      </c>
      <c r="C2" s="1" t="s">
        <v>4679</v>
      </c>
      <c r="D2" s="1" t="s">
        <v>4680</v>
      </c>
      <c r="E2" s="1" t="s">
        <v>4702</v>
      </c>
      <c r="F2" s="1" t="s">
        <v>4703</v>
      </c>
    </row>
    <row r="3" spans="2:6">
      <c r="B3" s="2" t="s">
        <v>307</v>
      </c>
      <c r="C3" s="2">
        <v>1.4</v>
      </c>
      <c r="D3" s="2">
        <v>1.6</v>
      </c>
      <c r="E3" s="15">
        <f>(D3-C3)/C3</f>
        <v>0.14285714285714299</v>
      </c>
      <c r="F3" s="62">
        <f>ABS(D3/C3-1)</f>
        <v>0.14285714285714302</v>
      </c>
    </row>
    <row r="4" spans="2:6">
      <c r="B4" s="2" t="s">
        <v>308</v>
      </c>
      <c r="C4" s="2">
        <v>1.7</v>
      </c>
      <c r="D4" s="2">
        <v>1.73</v>
      </c>
      <c r="E4" s="15">
        <f t="shared" ref="E4:E8" si="0">(D4-C4)/C4</f>
        <v>1.7647058823529429E-2</v>
      </c>
      <c r="F4" s="62">
        <f t="shared" ref="F4:F8" si="1">ABS(D4/C4-1)</f>
        <v>1.7647058823529349E-2</v>
      </c>
    </row>
    <row r="5" spans="2:6">
      <c r="B5" s="2" t="s">
        <v>309</v>
      </c>
      <c r="C5" s="2">
        <v>2.15</v>
      </c>
      <c r="D5" s="2">
        <v>2.2599999999999998</v>
      </c>
      <c r="E5" s="15">
        <f t="shared" si="0"/>
        <v>5.1162790697674362E-2</v>
      </c>
      <c r="F5" s="62">
        <f t="shared" si="1"/>
        <v>5.1162790697674376E-2</v>
      </c>
    </row>
    <row r="6" spans="2:6">
      <c r="B6" s="2" t="s">
        <v>310</v>
      </c>
      <c r="C6" s="2">
        <v>3.59</v>
      </c>
      <c r="D6" s="2">
        <v>2.58</v>
      </c>
      <c r="E6" s="15">
        <f t="shared" si="0"/>
        <v>-0.28133704735376042</v>
      </c>
      <c r="F6" s="62">
        <f t="shared" si="1"/>
        <v>0.28133704735376042</v>
      </c>
    </row>
    <row r="7" spans="2:6">
      <c r="B7" s="2" t="s">
        <v>51</v>
      </c>
      <c r="C7" s="2">
        <v>3.65</v>
      </c>
      <c r="D7" s="2">
        <v>3.17</v>
      </c>
      <c r="E7" s="15">
        <f t="shared" si="0"/>
        <v>-0.13150684931506848</v>
      </c>
      <c r="F7" s="62">
        <f t="shared" si="1"/>
        <v>0.13150684931506851</v>
      </c>
    </row>
    <row r="8" spans="2:6">
      <c r="B8" s="2" t="s">
        <v>311</v>
      </c>
      <c r="C8" s="2">
        <v>2.31</v>
      </c>
      <c r="D8" s="2">
        <v>2.33</v>
      </c>
      <c r="E8" s="15">
        <f t="shared" si="0"/>
        <v>8.6580086580086649E-3</v>
      </c>
      <c r="F8" s="62">
        <f t="shared" si="1"/>
        <v>8.6580086580085869E-3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6AC9-4D48-459C-B0E0-8FC19362C8F7}">
  <sheetPr codeName="Sheet586"/>
  <dimension ref="B2:E7"/>
  <sheetViews>
    <sheetView workbookViewId="0">
      <selection activeCell="D2" sqref="D2"/>
    </sheetView>
  </sheetViews>
  <sheetFormatPr defaultRowHeight="14.4"/>
  <cols>
    <col min="2" max="2" width="6.109375" bestFit="1" customWidth="1"/>
    <col min="3" max="3" width="11.5546875" bestFit="1" customWidth="1"/>
    <col min="4" max="4" width="18.44140625" bestFit="1" customWidth="1"/>
    <col min="5" max="5" width="10.109375" bestFit="1" customWidth="1"/>
  </cols>
  <sheetData>
    <row r="2" spans="2:5">
      <c r="B2" s="1" t="s">
        <v>130</v>
      </c>
      <c r="C2" s="1" t="s">
        <v>4681</v>
      </c>
      <c r="D2" s="1" t="s">
        <v>4683</v>
      </c>
      <c r="E2" s="1" t="s">
        <v>4682</v>
      </c>
    </row>
    <row r="3" spans="2:5">
      <c r="B3" s="2" t="s">
        <v>131</v>
      </c>
      <c r="C3" s="53">
        <v>200</v>
      </c>
      <c r="D3" s="53">
        <v>150</v>
      </c>
      <c r="E3" s="62">
        <f>ABS(D3/C3-1)</f>
        <v>0.25</v>
      </c>
    </row>
    <row r="4" spans="2:5">
      <c r="B4" s="2" t="s">
        <v>132</v>
      </c>
      <c r="C4" s="53">
        <v>50</v>
      </c>
      <c r="D4" s="53">
        <v>45</v>
      </c>
      <c r="E4" s="62">
        <f t="shared" ref="E4:E7" si="0">ABS(D4/C4-1)</f>
        <v>9.9999999999999978E-2</v>
      </c>
    </row>
    <row r="5" spans="2:5">
      <c r="B5" s="2" t="s">
        <v>133</v>
      </c>
      <c r="C5" s="53">
        <v>210</v>
      </c>
      <c r="D5" s="53">
        <v>178.5</v>
      </c>
      <c r="E5" s="62">
        <f t="shared" si="0"/>
        <v>0.15000000000000002</v>
      </c>
    </row>
    <row r="6" spans="2:5">
      <c r="B6" s="2" t="s">
        <v>134</v>
      </c>
      <c r="C6" s="53">
        <v>80</v>
      </c>
      <c r="D6" s="53">
        <v>70</v>
      </c>
      <c r="E6" s="62">
        <f t="shared" si="0"/>
        <v>0.125</v>
      </c>
    </row>
    <row r="7" spans="2:5">
      <c r="B7" s="2" t="s">
        <v>135</v>
      </c>
      <c r="C7" s="53">
        <v>100</v>
      </c>
      <c r="D7" s="53">
        <v>75</v>
      </c>
      <c r="E7" s="62">
        <f t="shared" si="0"/>
        <v>0.25</v>
      </c>
    </row>
  </sheetData>
  <pageMargins left="0.7" right="0.7" top="0.75" bottom="0.75" header="0.3" footer="0.3"/>
  <pageSetup orientation="portrait" horizontalDpi="4294967293" verticalDpi="0" r:id="rId1"/>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6BE4-AB18-4887-B8E0-C8E98D4249EF}">
  <sheetPr codeName="Sheet587"/>
  <dimension ref="B2:F4"/>
  <sheetViews>
    <sheetView workbookViewId="0">
      <selection activeCell="D2" sqref="D2"/>
    </sheetView>
  </sheetViews>
  <sheetFormatPr defaultRowHeight="14.4"/>
  <cols>
    <col min="2" max="2" width="25.109375" bestFit="1" customWidth="1"/>
    <col min="3" max="3" width="10.6640625" bestFit="1" customWidth="1"/>
    <col min="4" max="4" width="9.88671875" bestFit="1" customWidth="1"/>
    <col min="5" max="5" width="49" bestFit="1" customWidth="1"/>
    <col min="6" max="6" width="23.109375" bestFit="1" customWidth="1"/>
  </cols>
  <sheetData>
    <row r="2" spans="2:6">
      <c r="B2" s="1" t="s">
        <v>4684</v>
      </c>
      <c r="C2" s="1" t="s">
        <v>4687</v>
      </c>
      <c r="D2" s="1" t="s">
        <v>4688</v>
      </c>
      <c r="E2" s="1" t="s">
        <v>4689</v>
      </c>
      <c r="F2" s="1" t="s">
        <v>4704</v>
      </c>
    </row>
    <row r="3" spans="2:6">
      <c r="B3" s="2" t="s">
        <v>4685</v>
      </c>
      <c r="C3" s="2">
        <v>0</v>
      </c>
      <c r="D3" s="2">
        <v>100</v>
      </c>
      <c r="E3" s="15" t="e">
        <f>(D3-C3)/C3</f>
        <v>#DIV/0!</v>
      </c>
      <c r="F3" s="62">
        <f>(100-0)/100</f>
        <v>1</v>
      </c>
    </row>
    <row r="4" spans="2:6">
      <c r="B4" s="2" t="s">
        <v>4686</v>
      </c>
      <c r="C4" s="2">
        <v>100</v>
      </c>
      <c r="D4" s="2">
        <v>0</v>
      </c>
      <c r="E4" s="15">
        <f>(D4-C4)/C4</f>
        <v>-1</v>
      </c>
      <c r="F4" s="62">
        <f>ABS((0-100)/100)</f>
        <v>1</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BA028-A499-4B95-BFB8-D0CDAF0A1AFB}">
  <sheetPr codeName="Sheet588"/>
  <dimension ref="B2:E7"/>
  <sheetViews>
    <sheetView workbookViewId="0">
      <selection activeCell="D2" sqref="D2"/>
    </sheetView>
  </sheetViews>
  <sheetFormatPr defaultRowHeight="14.4"/>
  <cols>
    <col min="2" max="2" width="5.6640625" bestFit="1" customWidth="1"/>
    <col min="3" max="3" width="19.109375" bestFit="1" customWidth="1"/>
    <col min="4" max="4" width="15.88671875" bestFit="1" customWidth="1"/>
    <col min="5" max="5" width="20.109375" bestFit="1" customWidth="1"/>
  </cols>
  <sheetData>
    <row r="2" spans="2:5">
      <c r="B2" s="1" t="s">
        <v>1984</v>
      </c>
      <c r="C2" s="1" t="s">
        <v>4690</v>
      </c>
      <c r="D2" s="1" t="s">
        <v>4692</v>
      </c>
      <c r="E2" s="1" t="s">
        <v>4691</v>
      </c>
    </row>
    <row r="3" spans="2:5">
      <c r="B3" s="55" t="s">
        <v>1985</v>
      </c>
      <c r="C3" s="2">
        <v>-5.5</v>
      </c>
      <c r="D3" s="2">
        <v>-4.5</v>
      </c>
      <c r="E3" s="62">
        <f>(D3-C3)/ABS(C3)</f>
        <v>0.18181818181818182</v>
      </c>
    </row>
    <row r="4" spans="2:5">
      <c r="B4" s="55" t="s">
        <v>1986</v>
      </c>
      <c r="C4" s="2">
        <v>-0.2</v>
      </c>
      <c r="D4" s="2">
        <v>0.1</v>
      </c>
      <c r="E4" s="62">
        <f t="shared" ref="E4:E7" si="0">(D4-C4)/ABS(C4)</f>
        <v>1.5000000000000002</v>
      </c>
    </row>
    <row r="5" spans="2:5">
      <c r="B5" s="55" t="s">
        <v>1987</v>
      </c>
      <c r="C5" s="2">
        <v>1.1000000000000001</v>
      </c>
      <c r="D5" s="2">
        <v>-0.1</v>
      </c>
      <c r="E5" s="62">
        <f t="shared" si="0"/>
        <v>-1.0909090909090911</v>
      </c>
    </row>
    <row r="6" spans="2:5">
      <c r="B6" s="55" t="s">
        <v>1988</v>
      </c>
      <c r="C6" s="2">
        <v>4.8</v>
      </c>
      <c r="D6" s="2">
        <v>5.6</v>
      </c>
      <c r="E6" s="62">
        <f t="shared" si="0"/>
        <v>0.16666666666666663</v>
      </c>
    </row>
    <row r="7" spans="2:5">
      <c r="B7" s="55" t="s">
        <v>1989</v>
      </c>
      <c r="C7" s="2">
        <v>-3.9</v>
      </c>
      <c r="D7" s="2">
        <v>-4.7</v>
      </c>
      <c r="E7" s="62">
        <f t="shared" si="0"/>
        <v>-0.2051282051282052</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C025-1280-40A4-9A7B-8A2145510C62}">
  <sheetPr codeName="Sheet589"/>
  <dimension ref="B2:E5"/>
  <sheetViews>
    <sheetView workbookViewId="0">
      <selection activeCell="B2" sqref="B2"/>
    </sheetView>
  </sheetViews>
  <sheetFormatPr defaultRowHeight="14.4"/>
  <cols>
    <col min="2" max="2" width="6.88671875" bestFit="1" customWidth="1"/>
    <col min="3" max="3" width="13.5546875" bestFit="1" customWidth="1"/>
    <col min="4" max="4" width="12.5546875" bestFit="1" customWidth="1"/>
    <col min="5" max="5" width="32" bestFit="1" customWidth="1"/>
  </cols>
  <sheetData>
    <row r="2" spans="2:5">
      <c r="B2" s="1" t="s">
        <v>4693</v>
      </c>
      <c r="C2" s="1" t="s">
        <v>4694</v>
      </c>
      <c r="D2" s="1" t="s">
        <v>4695</v>
      </c>
      <c r="E2" s="1" t="s">
        <v>4696</v>
      </c>
    </row>
    <row r="3" spans="2:5">
      <c r="B3" s="2" t="s">
        <v>4501</v>
      </c>
      <c r="C3" s="53">
        <v>0</v>
      </c>
      <c r="D3" s="53">
        <v>0</v>
      </c>
      <c r="E3" s="62">
        <f>IF(D3&lt;&gt;0, IFERROR((D3-C3)/C3, 100%), IFERROR((D3-C3)/C3, 0%))</f>
        <v>0</v>
      </c>
    </row>
    <row r="4" spans="2:5">
      <c r="B4" s="2" t="s">
        <v>4502</v>
      </c>
      <c r="C4" s="53">
        <v>0</v>
      </c>
      <c r="D4" s="53">
        <v>200</v>
      </c>
      <c r="E4" s="62">
        <f t="shared" ref="E4:E5" si="0">IF(D4&lt;&gt;0, IFERROR((D4-C4)/C4, 100%), IFERROR((D4-C4)/C4, 0%))</f>
        <v>1</v>
      </c>
    </row>
    <row r="5" spans="2:5">
      <c r="B5" s="2" t="s">
        <v>4697</v>
      </c>
      <c r="C5" s="53">
        <v>150</v>
      </c>
      <c r="D5" s="53">
        <v>250</v>
      </c>
      <c r="E5" s="62">
        <f t="shared" si="0"/>
        <v>0.66666666666666663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F3F8-784F-4082-87C7-BD6A748153F7}">
  <sheetPr codeName="Sheet590"/>
  <dimension ref="A1:O10"/>
  <sheetViews>
    <sheetView workbookViewId="0"/>
  </sheetViews>
  <sheetFormatPr defaultRowHeight="14.4"/>
  <cols>
    <col min="1" max="1" width="6.5546875" bestFit="1" customWidth="1"/>
    <col min="2" max="2" width="17.5546875" bestFit="1" customWidth="1"/>
    <col min="3" max="3" width="14.33203125" bestFit="1" customWidth="1"/>
    <col min="4" max="4" width="27.109375" bestFit="1" customWidth="1"/>
  </cols>
  <sheetData>
    <row r="1" spans="1:15">
      <c r="A1" s="1" t="s">
        <v>32</v>
      </c>
      <c r="B1" s="1" t="s">
        <v>4705</v>
      </c>
      <c r="C1" s="1" t="s">
        <v>4706</v>
      </c>
      <c r="D1" s="1" t="s">
        <v>4707</v>
      </c>
    </row>
    <row r="2" spans="1:15">
      <c r="A2" s="2" t="s">
        <v>307</v>
      </c>
      <c r="B2" s="53">
        <v>2500</v>
      </c>
      <c r="C2" s="53">
        <v>2700</v>
      </c>
      <c r="D2" s="62">
        <v>0.08</v>
      </c>
    </row>
    <row r="3" spans="1:15">
      <c r="A3" s="2" t="s">
        <v>308</v>
      </c>
      <c r="B3" s="53">
        <v>1900</v>
      </c>
      <c r="C3" s="53">
        <v>2200</v>
      </c>
      <c r="D3" s="62">
        <v>0.15789473684210525</v>
      </c>
    </row>
    <row r="4" spans="1:15">
      <c r="A4" s="2" t="s">
        <v>309</v>
      </c>
      <c r="B4" s="53">
        <v>2300</v>
      </c>
      <c r="C4" s="53">
        <v>2000</v>
      </c>
      <c r="D4" s="62">
        <v>-0.13043478260869565</v>
      </c>
    </row>
    <row r="8" spans="1:15">
      <c r="O8" s="144">
        <v>0.08</v>
      </c>
    </row>
    <row r="9" spans="1:15">
      <c r="O9" s="144">
        <v>0.15789473684210525</v>
      </c>
    </row>
    <row r="10" spans="1:15">
      <c r="O10" s="144">
        <v>-0.13043478260869565</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8770-4679-4ED6-95CD-3C3740E16C6E}">
  <sheetPr codeName="Sheet591"/>
  <dimension ref="A1:E6"/>
  <sheetViews>
    <sheetView workbookViewId="0">
      <selection activeCell="D2" sqref="D2"/>
    </sheetView>
  </sheetViews>
  <sheetFormatPr defaultRowHeight="14.4"/>
  <cols>
    <col min="1" max="1" width="24" bestFit="1" customWidth="1"/>
    <col min="3" max="3" width="52.109375" bestFit="1" customWidth="1"/>
    <col min="5" max="5" width="29.5546875" bestFit="1" customWidth="1"/>
  </cols>
  <sheetData>
    <row r="1" spans="1:5">
      <c r="A1" s="1" t="s">
        <v>9</v>
      </c>
      <c r="B1" s="1" t="s">
        <v>10</v>
      </c>
      <c r="C1" s="1" t="s">
        <v>622</v>
      </c>
      <c r="D1" s="1" t="s">
        <v>1384</v>
      </c>
      <c r="E1" s="1" t="s">
        <v>1977</v>
      </c>
    </row>
    <row r="2" spans="1:5">
      <c r="A2" s="2" t="s">
        <v>3216</v>
      </c>
      <c r="B2" s="2">
        <v>20</v>
      </c>
      <c r="C2" s="2" t="s">
        <v>4712</v>
      </c>
      <c r="D2" s="7" t="e">
        <f>A2/B2</f>
        <v>#VALUE!</v>
      </c>
      <c r="E2" s="65" t="s">
        <v>4471</v>
      </c>
    </row>
    <row r="3" spans="1:5">
      <c r="A3" s="2">
        <v>50</v>
      </c>
      <c r="B3" s="2" t="s">
        <v>2794</v>
      </c>
      <c r="C3" s="2" t="s">
        <v>4711</v>
      </c>
      <c r="D3" s="7" t="e">
        <f>A3-B3</f>
        <v>#VALUE!</v>
      </c>
      <c r="E3" s="65" t="s">
        <v>2190</v>
      </c>
    </row>
    <row r="4" spans="1:5" s="309" customFormat="1" ht="28.8">
      <c r="A4" s="306" t="s">
        <v>4708</v>
      </c>
      <c r="B4" s="46">
        <v>24</v>
      </c>
      <c r="C4" s="46" t="s">
        <v>4744</v>
      </c>
      <c r="D4" s="307" t="e">
        <f>EDATE(A4,B4)</f>
        <v>#VALUE!</v>
      </c>
      <c r="E4" s="308" t="s">
        <v>1924</v>
      </c>
    </row>
    <row r="5" spans="1:5">
      <c r="A5" s="45">
        <v>1000</v>
      </c>
      <c r="B5" s="45">
        <v>10</v>
      </c>
      <c r="C5" s="107" t="s">
        <v>4713</v>
      </c>
      <c r="D5" s="7" t="e">
        <f>ODD(A5:B5)</f>
        <v>#VALUE!</v>
      </c>
      <c r="E5" s="65" t="s">
        <v>4710</v>
      </c>
    </row>
    <row r="6" spans="1:5">
      <c r="A6" s="289"/>
    </row>
  </sheetData>
  <pageMargins left="0.7" right="0.7" top="0.75" bottom="0.75" header="0.3" footer="0.3"/>
  <pageSetup orientation="portrait" horizontalDpi="4294967293" verticalDpi="0"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792A-F786-41F0-9D43-0FDA7652EA27}">
  <sheetPr codeName="Sheet592"/>
  <dimension ref="A1:B7"/>
  <sheetViews>
    <sheetView workbookViewId="0">
      <selection activeCell="D2" sqref="D2"/>
    </sheetView>
  </sheetViews>
  <sheetFormatPr defaultRowHeight="14.4"/>
  <cols>
    <col min="1" max="1" width="28.44140625" bestFit="1" customWidth="1"/>
    <col min="2" max="2" width="8.44140625" bestFit="1" customWidth="1"/>
  </cols>
  <sheetData>
    <row r="1" spans="1:2">
      <c r="A1" s="1" t="s">
        <v>864</v>
      </c>
      <c r="B1" s="1" t="s">
        <v>136</v>
      </c>
    </row>
    <row r="2" spans="1:2">
      <c r="A2" s="2" t="s">
        <v>4714</v>
      </c>
      <c r="B2" s="2">
        <v>1.01</v>
      </c>
    </row>
    <row r="3" spans="1:2">
      <c r="A3" s="2" t="s">
        <v>4715</v>
      </c>
      <c r="B3" s="2">
        <v>3.21</v>
      </c>
    </row>
    <row r="4" spans="1:2">
      <c r="A4" s="2" t="s">
        <v>4716</v>
      </c>
      <c r="B4" s="2" t="s">
        <v>4719</v>
      </c>
    </row>
    <row r="5" spans="1:2">
      <c r="A5" s="2" t="s">
        <v>4717</v>
      </c>
      <c r="B5" s="2" t="s">
        <v>4719</v>
      </c>
    </row>
    <row r="6" spans="1:2">
      <c r="A6" s="2" t="s">
        <v>4718</v>
      </c>
      <c r="B6" s="2">
        <v>11.58</v>
      </c>
    </row>
    <row r="7" spans="1:2">
      <c r="A7" s="1" t="s">
        <v>3042</v>
      </c>
      <c r="B7" s="7">
        <f>SUM(B2:B6)</f>
        <v>15.8</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4C0C-DC6B-484C-98C0-A7C731CEB2CA}">
  <sheetPr codeName="Sheet593"/>
  <dimension ref="A1:D2"/>
  <sheetViews>
    <sheetView workbookViewId="0">
      <selection activeCell="D2" sqref="D2"/>
    </sheetView>
  </sheetViews>
  <sheetFormatPr defaultRowHeight="14.4"/>
  <cols>
    <col min="1" max="1" width="41.44140625" bestFit="1" customWidth="1"/>
    <col min="2" max="2" width="9.88671875" bestFit="1" customWidth="1"/>
    <col min="3" max="3" width="10.5546875" bestFit="1" customWidth="1"/>
    <col min="4" max="4" width="13.109375" bestFit="1" customWidth="1"/>
  </cols>
  <sheetData>
    <row r="1" spans="1:4">
      <c r="A1" s="1" t="s">
        <v>1633</v>
      </c>
      <c r="B1" s="1" t="s">
        <v>4720</v>
      </c>
      <c r="C1" s="1" t="s">
        <v>4721</v>
      </c>
      <c r="D1" s="1" t="s">
        <v>4722</v>
      </c>
    </row>
    <row r="2" spans="1:4">
      <c r="A2" s="2" t="s">
        <v>4723</v>
      </c>
      <c r="B2" s="2">
        <v>27</v>
      </c>
      <c r="C2" s="2">
        <v>14</v>
      </c>
      <c r="D2" s="7" t="str">
        <f>MID(A2,B2,C2)</f>
        <v xml:space="preserve">#VALUE! error </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A340-56BD-4BE2-B456-06D9DE8032FE}">
  <sheetPr codeName="Sheet594"/>
  <dimension ref="A1:E5"/>
  <sheetViews>
    <sheetView workbookViewId="0">
      <selection activeCell="D2" sqref="D2"/>
    </sheetView>
  </sheetViews>
  <sheetFormatPr defaultRowHeight="14.4"/>
  <cols>
    <col min="1" max="1" width="12" bestFit="1" customWidth="1"/>
    <col min="2" max="2" width="11.44140625" bestFit="1" customWidth="1"/>
    <col min="3" max="3" width="11.5546875" bestFit="1" customWidth="1"/>
    <col min="4" max="4" width="17.33203125" bestFit="1" customWidth="1"/>
    <col min="5" max="5" width="39.6640625" bestFit="1" customWidth="1"/>
  </cols>
  <sheetData>
    <row r="1" spans="1:5">
      <c r="A1" s="1" t="s">
        <v>1122</v>
      </c>
      <c r="B1" s="1" t="s">
        <v>2251</v>
      </c>
      <c r="C1" s="1" t="s">
        <v>1644</v>
      </c>
      <c r="D1" s="1" t="s">
        <v>4725</v>
      </c>
      <c r="E1" s="1" t="s">
        <v>4709</v>
      </c>
    </row>
    <row r="2" spans="1:5" ht="16.2">
      <c r="A2" s="20">
        <v>44739</v>
      </c>
      <c r="B2" s="20">
        <v>44752</v>
      </c>
      <c r="C2" s="20" t="s">
        <v>4724</v>
      </c>
      <c r="D2" s="7" t="e">
        <f>NETWORKDAYS(A2,B2,C2)</f>
        <v>#VALUE!</v>
      </c>
      <c r="E2" s="65" t="s">
        <v>4726</v>
      </c>
    </row>
    <row r="4" spans="1:5">
      <c r="A4" s="1" t="s">
        <v>4727</v>
      </c>
      <c r="B4" s="1" t="s">
        <v>4728</v>
      </c>
      <c r="C4" s="1" t="s">
        <v>4729</v>
      </c>
    </row>
    <row r="5" spans="1:5">
      <c r="A5" s="66">
        <f>A2+1</f>
        <v>44740</v>
      </c>
      <c r="B5" s="66">
        <f t="shared" ref="B5:C5" si="0">B2+1</f>
        <v>44753</v>
      </c>
      <c r="C5" s="66" t="e">
        <f t="shared" si="0"/>
        <v>#VALUE!</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7ED-DA02-4425-810B-D611F9B84EA6}">
  <sheetPr codeName="Sheet595"/>
  <dimension ref="A1:F6"/>
  <sheetViews>
    <sheetView workbookViewId="0">
      <selection activeCell="D2" sqref="D2"/>
    </sheetView>
  </sheetViews>
  <sheetFormatPr defaultRowHeight="14.4"/>
  <cols>
    <col min="1" max="1" width="9.44140625" bestFit="1" customWidth="1"/>
    <col min="2" max="2" width="13.109375" bestFit="1" customWidth="1"/>
    <col min="3" max="3" width="9.88671875" bestFit="1" customWidth="1"/>
    <col min="4" max="4" width="15.6640625" bestFit="1" customWidth="1"/>
    <col min="5" max="6" width="16.44140625" bestFit="1" customWidth="1"/>
  </cols>
  <sheetData>
    <row r="1" spans="1:6">
      <c r="A1" s="1" t="s">
        <v>229</v>
      </c>
      <c r="B1" s="1" t="s">
        <v>3042</v>
      </c>
      <c r="C1" s="1" t="s">
        <v>3491</v>
      </c>
      <c r="D1" s="1" t="s">
        <v>80</v>
      </c>
      <c r="E1" s="1" t="s">
        <v>4735</v>
      </c>
      <c r="F1" s="1" t="s">
        <v>4736</v>
      </c>
    </row>
    <row r="2" spans="1:6">
      <c r="A2" s="2" t="s">
        <v>4730</v>
      </c>
      <c r="B2" s="83">
        <v>1064000</v>
      </c>
      <c r="C2" s="2">
        <v>5320</v>
      </c>
      <c r="D2" s="87">
        <f>B2/C2</f>
        <v>200</v>
      </c>
      <c r="E2" s="67">
        <f>IFERROR(B2/C2,"Data Not Available")</f>
        <v>200</v>
      </c>
      <c r="F2" s="67">
        <f>IF(ISERROR(B2/C2),"Data Not Available",B2/C2)</f>
        <v>200</v>
      </c>
    </row>
    <row r="3" spans="1:6">
      <c r="A3" s="2" t="s">
        <v>4731</v>
      </c>
      <c r="B3" s="83" t="s">
        <v>1211</v>
      </c>
      <c r="C3" s="2">
        <v>1495</v>
      </c>
      <c r="D3" s="87" t="e">
        <f t="shared" ref="D3:D6" si="0">B3/C3</f>
        <v>#VALUE!</v>
      </c>
      <c r="E3" s="67" t="str">
        <f t="shared" ref="E3:E6" si="1">IFERROR(B3/C3,"Data Not Available")</f>
        <v>Data Not Available</v>
      </c>
      <c r="F3" s="67" t="str">
        <f t="shared" ref="F3:F6" si="2">IF(ISERROR(B3/C3),"Data Not Available",B3/C3)</f>
        <v>Data Not Available</v>
      </c>
    </row>
    <row r="4" spans="1:6">
      <c r="A4" s="2" t="s">
        <v>4732</v>
      </c>
      <c r="B4" s="83">
        <v>344925</v>
      </c>
      <c r="C4" s="2">
        <v>3285</v>
      </c>
      <c r="D4" s="87">
        <f t="shared" si="0"/>
        <v>105</v>
      </c>
      <c r="E4" s="67">
        <f t="shared" si="1"/>
        <v>105</v>
      </c>
      <c r="F4" s="67">
        <f t="shared" si="2"/>
        <v>105</v>
      </c>
    </row>
    <row r="5" spans="1:6">
      <c r="A5" s="2" t="s">
        <v>4733</v>
      </c>
      <c r="B5" s="83">
        <v>135300</v>
      </c>
      <c r="C5" s="2" t="s">
        <v>1211</v>
      </c>
      <c r="D5" s="87" t="e">
        <f t="shared" si="0"/>
        <v>#VALUE!</v>
      </c>
      <c r="E5" s="67" t="str">
        <f t="shared" si="1"/>
        <v>Data Not Available</v>
      </c>
      <c r="F5" s="67" t="str">
        <f t="shared" si="2"/>
        <v>Data Not Available</v>
      </c>
    </row>
    <row r="6" spans="1:6">
      <c r="A6" s="2" t="s">
        <v>4734</v>
      </c>
      <c r="B6" s="83">
        <v>351750</v>
      </c>
      <c r="C6" s="2" t="s">
        <v>1211</v>
      </c>
      <c r="D6" s="87" t="e">
        <f t="shared" si="0"/>
        <v>#VALUE!</v>
      </c>
      <c r="E6" s="67" t="str">
        <f t="shared" si="1"/>
        <v>Data Not Available</v>
      </c>
      <c r="F6" s="67" t="str">
        <f t="shared" si="2"/>
        <v>Data Not Available</v>
      </c>
    </row>
  </sheetData>
  <pageMargins left="0.7" right="0.7" top="0.75" bottom="0.75" header="0.3" footer="0.3"/>
  <pageSetup orientation="portrait" horizontalDpi="4294967293" verticalDpi="0" r:id="rId1"/>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6DF2-A757-484B-B9DE-34AEFAC95FBB}">
  <sheetPr codeName="Sheet596"/>
  <dimension ref="A1:E4"/>
  <sheetViews>
    <sheetView workbookViewId="0">
      <selection activeCell="D2" sqref="D2"/>
    </sheetView>
  </sheetViews>
  <sheetFormatPr defaultRowHeight="14.4"/>
  <cols>
    <col min="1" max="2" width="7" bestFit="1" customWidth="1"/>
    <col min="3" max="3" width="18.88671875" bestFit="1" customWidth="1"/>
    <col min="4" max="4" width="7.88671875" bestFit="1" customWidth="1"/>
    <col min="5" max="5" width="28" bestFit="1" customWidth="1"/>
  </cols>
  <sheetData>
    <row r="1" spans="1:5">
      <c r="A1" s="1" t="s">
        <v>9</v>
      </c>
      <c r="B1" s="1" t="s">
        <v>10</v>
      </c>
      <c r="C1" s="1" t="s">
        <v>3553</v>
      </c>
      <c r="D1" s="1" t="s">
        <v>1384</v>
      </c>
      <c r="E1" s="1" t="s">
        <v>1977</v>
      </c>
    </row>
    <row r="2" spans="1:5">
      <c r="A2" s="2">
        <v>22</v>
      </c>
      <c r="B2" s="2" t="s">
        <v>1185</v>
      </c>
      <c r="C2" s="2" t="s">
        <v>2185</v>
      </c>
      <c r="D2" s="7" t="e">
        <f>A2+B2</f>
        <v>#VALUE!</v>
      </c>
      <c r="E2" s="65" t="s">
        <v>4745</v>
      </c>
    </row>
    <row r="3" spans="1:5">
      <c r="A3" s="2">
        <v>88</v>
      </c>
      <c r="B3" s="2" t="s">
        <v>4737</v>
      </c>
      <c r="C3" s="2" t="s">
        <v>2184</v>
      </c>
      <c r="D3" s="7" t="e">
        <f>A3-B3</f>
        <v>#VALUE!</v>
      </c>
      <c r="E3" s="65" t="s">
        <v>2190</v>
      </c>
    </row>
    <row r="4" spans="1:5">
      <c r="A4" s="46" t="s">
        <v>4738</v>
      </c>
      <c r="B4" s="46">
        <v>15</v>
      </c>
      <c r="C4" s="46" t="s">
        <v>2183</v>
      </c>
      <c r="D4" s="307" t="e">
        <f>A4/B4</f>
        <v>#VALUE!</v>
      </c>
      <c r="E4" s="308" t="s">
        <v>4739</v>
      </c>
    </row>
  </sheetData>
  <pageMargins left="0.7" right="0.7" top="0.75" bottom="0.75" header="0.3" footer="0.3"/>
  <pageSetup orientation="portrait" horizontalDpi="4294967293" verticalDpi="0"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B5FDB-0FEF-4696-A8CD-C63F35602959}">
  <sheetPr codeName="Sheet597"/>
  <dimension ref="A1:C5"/>
  <sheetViews>
    <sheetView workbookViewId="0"/>
  </sheetViews>
  <sheetFormatPr defaultRowHeight="14.4"/>
  <cols>
    <col min="1" max="1" width="15.88671875" bestFit="1" customWidth="1"/>
    <col min="2" max="2" width="15" bestFit="1" customWidth="1"/>
    <col min="3" max="3" width="14.88671875" bestFit="1" customWidth="1"/>
  </cols>
  <sheetData>
    <row r="1" spans="1:3">
      <c r="A1" s="1" t="s">
        <v>4741</v>
      </c>
      <c r="B1" s="1" t="s">
        <v>4742</v>
      </c>
      <c r="C1" s="1" t="s">
        <v>4743</v>
      </c>
    </row>
    <row r="2" spans="1:3">
      <c r="A2" s="20">
        <v>44866</v>
      </c>
      <c r="B2" s="20">
        <v>44885</v>
      </c>
      <c r="C2" s="7">
        <f>B2-A2</f>
        <v>19</v>
      </c>
    </row>
    <row r="5" spans="1:3">
      <c r="C5" t="s">
        <v>4740</v>
      </c>
    </row>
  </sheetData>
  <pageMargins left="0.7" right="0.7" top="0.75" bottom="0.75" header="0.3" footer="0.3"/>
  <pageSetup orientation="portrait" horizontalDpi="4294967293" verticalDpi="0"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76A-10A0-4082-A9B6-3F225B260FD2}">
  <sheetPr codeName="Sheet598"/>
  <dimension ref="A1:B13"/>
  <sheetViews>
    <sheetView workbookViewId="0">
      <selection activeCell="B13" sqref="B13"/>
    </sheetView>
  </sheetViews>
  <sheetFormatPr defaultRowHeight="14.4"/>
  <cols>
    <col min="1" max="2" width="23.109375" bestFit="1" customWidth="1"/>
  </cols>
  <sheetData>
    <row r="1" spans="1:2">
      <c r="A1" s="1" t="s">
        <v>4746</v>
      </c>
      <c r="B1" s="1" t="s">
        <v>4747</v>
      </c>
    </row>
    <row r="2" spans="1:2">
      <c r="A2" s="2">
        <v>15</v>
      </c>
      <c r="B2" s="2">
        <v>12</v>
      </c>
    </row>
    <row r="3" spans="1:2">
      <c r="A3" s="2">
        <v>16</v>
      </c>
      <c r="B3" s="2">
        <v>15</v>
      </c>
    </row>
    <row r="4" spans="1:2">
      <c r="A4" s="2">
        <v>14</v>
      </c>
      <c r="B4" s="2">
        <v>13</v>
      </c>
    </row>
    <row r="5" spans="1:2">
      <c r="A5" s="2">
        <v>13</v>
      </c>
      <c r="B5" s="2">
        <v>11</v>
      </c>
    </row>
    <row r="6" spans="1:2">
      <c r="A6" s="2">
        <v>15</v>
      </c>
      <c r="B6" s="2">
        <v>10</v>
      </c>
    </row>
    <row r="7" spans="1:2">
      <c r="A7" s="2">
        <v>14</v>
      </c>
      <c r="B7" s="2">
        <v>13</v>
      </c>
    </row>
    <row r="8" spans="1:2">
      <c r="A8" s="2">
        <v>16</v>
      </c>
      <c r="B8" s="2">
        <v>14</v>
      </c>
    </row>
    <row r="9" spans="1:2">
      <c r="A9" s="2">
        <v>13</v>
      </c>
      <c r="B9" s="2">
        <v>15</v>
      </c>
    </row>
    <row r="10" spans="1:2">
      <c r="A10" s="2">
        <v>12</v>
      </c>
      <c r="B10" s="2">
        <v>12</v>
      </c>
    </row>
    <row r="11" spans="1:2">
      <c r="A11" s="2">
        <v>10</v>
      </c>
      <c r="B11" s="2">
        <v>10</v>
      </c>
    </row>
    <row r="13" spans="1:2">
      <c r="A13" s="1" t="s">
        <v>4748</v>
      </c>
      <c r="B13" s="7">
        <f>_xlfn.T.TEST(A2:A11,B2:B11,1,1)</f>
        <v>2.8738184393254443E-2</v>
      </c>
    </row>
  </sheetData>
  <pageMargins left="0.7" right="0.7" top="0.75" bottom="0.75" header="0.3" footer="0.3"/>
  <pageSetup orientation="portrait" horizontalDpi="4294967293" verticalDpi="0" r:id="rId1"/>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379EF-7AE8-4550-90A5-CFE7366E3B29}">
  <sheetPr codeName="Sheet599"/>
  <dimension ref="A1:G14"/>
  <sheetViews>
    <sheetView zoomScale="80" zoomScaleNormal="80" workbookViewId="0">
      <selection activeCell="B13" sqref="B13"/>
    </sheetView>
  </sheetViews>
  <sheetFormatPr defaultRowHeight="14.4"/>
  <cols>
    <col min="1" max="1" width="34" bestFit="1" customWidth="1"/>
    <col min="2" max="2" width="33.88671875" bestFit="1" customWidth="1"/>
    <col min="5" max="5" width="39.44140625" bestFit="1" customWidth="1"/>
    <col min="6" max="6" width="32.88671875" bestFit="1" customWidth="1"/>
    <col min="7" max="7" width="32.6640625" bestFit="1" customWidth="1"/>
  </cols>
  <sheetData>
    <row r="1" spans="1:7">
      <c r="A1" s="1" t="s">
        <v>4749</v>
      </c>
      <c r="B1" s="1" t="s">
        <v>4750</v>
      </c>
      <c r="E1" t="s">
        <v>4751</v>
      </c>
    </row>
    <row r="2" spans="1:7" ht="15" thickBot="1">
      <c r="A2" s="2">
        <v>20</v>
      </c>
      <c r="B2" s="2">
        <v>15</v>
      </c>
    </row>
    <row r="3" spans="1:7">
      <c r="A3" s="2">
        <v>10</v>
      </c>
      <c r="B3" s="2">
        <v>22</v>
      </c>
      <c r="E3" s="245"/>
      <c r="F3" s="245" t="s">
        <v>4749</v>
      </c>
      <c r="G3" s="245" t="s">
        <v>4750</v>
      </c>
    </row>
    <row r="4" spans="1:7">
      <c r="A4" s="2">
        <v>15</v>
      </c>
      <c r="B4" s="2">
        <v>20</v>
      </c>
      <c r="E4" t="s">
        <v>3817</v>
      </c>
      <c r="F4">
        <v>20</v>
      </c>
      <c r="G4">
        <v>20</v>
      </c>
    </row>
    <row r="5" spans="1:7">
      <c r="A5" s="2">
        <v>22</v>
      </c>
      <c r="B5" s="2">
        <v>20</v>
      </c>
      <c r="E5" t="s">
        <v>4059</v>
      </c>
      <c r="F5">
        <v>22.666666666666668</v>
      </c>
      <c r="G5">
        <v>22.666666666666668</v>
      </c>
    </row>
    <row r="6" spans="1:7">
      <c r="A6" s="2">
        <v>23</v>
      </c>
      <c r="B6" s="2">
        <v>26</v>
      </c>
      <c r="E6" t="s">
        <v>4060</v>
      </c>
      <c r="F6">
        <v>10</v>
      </c>
      <c r="G6">
        <v>10</v>
      </c>
    </row>
    <row r="7" spans="1:7">
      <c r="A7" s="2">
        <v>21</v>
      </c>
      <c r="B7" s="2">
        <v>25</v>
      </c>
      <c r="E7" t="s">
        <v>4752</v>
      </c>
      <c r="F7">
        <v>22.666666666666668</v>
      </c>
    </row>
    <row r="8" spans="1:7">
      <c r="A8" s="2">
        <v>20</v>
      </c>
      <c r="B8" s="2">
        <v>18</v>
      </c>
      <c r="E8" t="s">
        <v>4753</v>
      </c>
      <c r="F8">
        <v>0</v>
      </c>
    </row>
    <row r="9" spans="1:7">
      <c r="A9" s="2">
        <v>18</v>
      </c>
      <c r="B9" s="2">
        <v>23</v>
      </c>
      <c r="E9" t="s">
        <v>4061</v>
      </c>
      <c r="F9">
        <v>18</v>
      </c>
    </row>
    <row r="10" spans="1:7">
      <c r="A10" s="2">
        <v>25</v>
      </c>
      <c r="B10" s="2">
        <v>21</v>
      </c>
      <c r="E10" t="s">
        <v>4754</v>
      </c>
      <c r="F10">
        <v>0</v>
      </c>
    </row>
    <row r="11" spans="1:7">
      <c r="A11" s="2">
        <v>26</v>
      </c>
      <c r="B11" s="2">
        <v>10</v>
      </c>
      <c r="E11" t="s">
        <v>4755</v>
      </c>
      <c r="F11">
        <v>0.5</v>
      </c>
    </row>
    <row r="12" spans="1:7">
      <c r="E12" t="s">
        <v>4756</v>
      </c>
      <c r="F12">
        <v>1.7340636066175394</v>
      </c>
    </row>
    <row r="13" spans="1:7">
      <c r="A13" s="1" t="s">
        <v>4748</v>
      </c>
      <c r="B13" s="7">
        <f>_xlfn.T.TEST(A2:A11,B2:B11,1,2)</f>
        <v>0.5</v>
      </c>
      <c r="E13" t="s">
        <v>4757</v>
      </c>
      <c r="F13">
        <v>1</v>
      </c>
    </row>
    <row r="14" spans="1:7" ht="15" thickBot="1">
      <c r="E14" s="169" t="s">
        <v>4758</v>
      </c>
      <c r="F14" s="169">
        <v>2.1009220402410378</v>
      </c>
      <c r="G14" s="169"/>
    </row>
  </sheetData>
  <pageMargins left="0.7" right="0.7" top="0.75" bottom="0.75" header="0.3" footer="0.3"/>
  <pageSetup orientation="portrait" horizontalDpi="4294967293" verticalDpi="0" r:id="rId1"/>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0F91-530D-4160-A5B9-79D816A2A32B}">
  <sheetPr codeName="Sheet600"/>
  <dimension ref="A1:B13"/>
  <sheetViews>
    <sheetView workbookViewId="0">
      <selection activeCell="B13" sqref="B13"/>
    </sheetView>
  </sheetViews>
  <sheetFormatPr defaultRowHeight="14.4"/>
  <cols>
    <col min="1" max="1" width="32.6640625" bestFit="1" customWidth="1"/>
    <col min="2" max="2" width="32.5546875" bestFit="1" customWidth="1"/>
  </cols>
  <sheetData>
    <row r="1" spans="1:2">
      <c r="A1" s="1" t="s">
        <v>4749</v>
      </c>
      <c r="B1" s="1" t="s">
        <v>4750</v>
      </c>
    </row>
    <row r="2" spans="1:2">
      <c r="A2" s="2">
        <v>20</v>
      </c>
      <c r="B2" s="2">
        <v>15</v>
      </c>
    </row>
    <row r="3" spans="1:2">
      <c r="A3" s="2">
        <v>10</v>
      </c>
      <c r="B3" s="2">
        <v>22</v>
      </c>
    </row>
    <row r="4" spans="1:2">
      <c r="A4" s="2">
        <v>15</v>
      </c>
      <c r="B4" s="2">
        <v>20</v>
      </c>
    </row>
    <row r="5" spans="1:2">
      <c r="A5" s="2">
        <v>22</v>
      </c>
      <c r="B5" s="2">
        <v>20</v>
      </c>
    </row>
    <row r="6" spans="1:2">
      <c r="A6" s="2">
        <v>23</v>
      </c>
      <c r="B6" s="2">
        <v>26</v>
      </c>
    </row>
    <row r="7" spans="1:2">
      <c r="A7" s="2">
        <v>21</v>
      </c>
      <c r="B7" s="2">
        <v>25</v>
      </c>
    </row>
    <row r="8" spans="1:2">
      <c r="A8" s="2">
        <v>20</v>
      </c>
      <c r="B8" s="2">
        <v>18</v>
      </c>
    </row>
    <row r="9" spans="1:2">
      <c r="A9" s="2">
        <v>18</v>
      </c>
      <c r="B9" s="2">
        <v>23</v>
      </c>
    </row>
    <row r="10" spans="1:2">
      <c r="A10" s="2">
        <v>25</v>
      </c>
      <c r="B10" s="2">
        <v>21</v>
      </c>
    </row>
    <row r="11" spans="1:2">
      <c r="A11" s="2">
        <v>26</v>
      </c>
      <c r="B11" s="2">
        <v>10</v>
      </c>
    </row>
    <row r="13" spans="1:2">
      <c r="A13" s="1" t="s">
        <v>4748</v>
      </c>
      <c r="B13" s="7">
        <f>_xlfn.T.TEST(A2:A11,B2:B11,1,2)</f>
        <v>0.5</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E6081-13F1-4A09-9FB6-4D401A770EB7}">
  <sheetPr codeName="Sheet601"/>
  <dimension ref="A1:C8"/>
  <sheetViews>
    <sheetView workbookViewId="0">
      <selection activeCell="B13" sqref="B13"/>
    </sheetView>
  </sheetViews>
  <sheetFormatPr defaultRowHeight="14.4"/>
  <cols>
    <col min="1" max="1" width="44.88671875" bestFit="1" customWidth="1"/>
    <col min="2" max="2" width="12" bestFit="1" customWidth="1"/>
    <col min="3" max="3" width="5.5546875" bestFit="1" customWidth="1"/>
  </cols>
  <sheetData>
    <row r="1" spans="1:3">
      <c r="A1" s="400" t="s">
        <v>3750</v>
      </c>
      <c r="B1" s="368"/>
      <c r="C1" s="368"/>
    </row>
    <row r="2" spans="1:3">
      <c r="A2" s="1" t="s">
        <v>622</v>
      </c>
      <c r="B2" s="1" t="s">
        <v>3749</v>
      </c>
      <c r="C2" s="1" t="s">
        <v>1727</v>
      </c>
    </row>
    <row r="3" spans="1:3">
      <c r="A3" s="2" t="s">
        <v>3751</v>
      </c>
      <c r="B3" s="2" t="s">
        <v>3216</v>
      </c>
      <c r="C3" s="2">
        <v>0.9</v>
      </c>
    </row>
    <row r="4" spans="1:3">
      <c r="A4" s="2" t="s">
        <v>3752</v>
      </c>
      <c r="B4" s="2" t="s">
        <v>3753</v>
      </c>
      <c r="C4" s="2">
        <v>5</v>
      </c>
    </row>
    <row r="5" spans="1:3">
      <c r="A5" s="2" t="s">
        <v>3755</v>
      </c>
      <c r="B5" s="2" t="s">
        <v>3754</v>
      </c>
      <c r="C5" s="2">
        <v>1</v>
      </c>
    </row>
    <row r="8" spans="1:3">
      <c r="A8" s="1" t="s">
        <v>4759</v>
      </c>
      <c r="B8" s="62">
        <f>TDIST(C3,C4,C5)</f>
        <v>0.20468560017231174</v>
      </c>
    </row>
  </sheetData>
  <mergeCells count="1">
    <mergeCell ref="A1:C1"/>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A136-D8B2-43D5-8E11-34E68A125C8F}">
  <sheetPr codeName="Sheet602"/>
  <dimension ref="A1:N15"/>
  <sheetViews>
    <sheetView workbookViewId="0">
      <selection activeCell="B13" sqref="B13"/>
    </sheetView>
  </sheetViews>
  <sheetFormatPr defaultRowHeight="14.4"/>
  <cols>
    <col min="1" max="1" width="9.88671875" bestFit="1" customWidth="1"/>
    <col min="2" max="2" width="20.33203125" bestFit="1" customWidth="1"/>
    <col min="4" max="4" width="26.109375" bestFit="1" customWidth="1"/>
    <col min="5" max="5" width="9.6640625" bestFit="1" customWidth="1"/>
    <col min="6" max="6" width="11.88671875" bestFit="1" customWidth="1"/>
  </cols>
  <sheetData>
    <row r="1" spans="1:14">
      <c r="A1" s="464" t="s">
        <v>4763</v>
      </c>
      <c r="B1" s="465"/>
      <c r="D1" s="466" t="s">
        <v>4760</v>
      </c>
      <c r="E1" s="467"/>
      <c r="F1" s="468"/>
    </row>
    <row r="2" spans="1:14">
      <c r="A2" s="228" t="s">
        <v>32</v>
      </c>
      <c r="B2" s="228" t="s">
        <v>4771</v>
      </c>
      <c r="C2" s="14"/>
      <c r="D2" s="228" t="s">
        <v>622</v>
      </c>
      <c r="E2" s="228" t="s">
        <v>2887</v>
      </c>
      <c r="F2" s="228" t="s">
        <v>1727</v>
      </c>
    </row>
    <row r="3" spans="1:14">
      <c r="A3" s="2" t="s">
        <v>307</v>
      </c>
      <c r="B3" s="2">
        <v>61</v>
      </c>
      <c r="C3" s="14"/>
      <c r="D3" s="2" t="s">
        <v>4762</v>
      </c>
      <c r="E3" s="2" t="s">
        <v>4770</v>
      </c>
      <c r="F3" s="7">
        <f>AVERAGE(B3:B14)</f>
        <v>76.833333333333329</v>
      </c>
    </row>
    <row r="4" spans="1:14">
      <c r="A4" s="2" t="s">
        <v>308</v>
      </c>
      <c r="B4" s="2">
        <v>67</v>
      </c>
      <c r="C4" s="14"/>
      <c r="D4" s="2" t="s">
        <v>4764</v>
      </c>
      <c r="E4" s="2" t="s">
        <v>655</v>
      </c>
      <c r="F4" s="7">
        <f>_xlfn.STDEV.S(B3:B14)</f>
        <v>10.151876972294655</v>
      </c>
    </row>
    <row r="5" spans="1:14">
      <c r="A5" s="2" t="s">
        <v>309</v>
      </c>
      <c r="B5" s="2">
        <v>70</v>
      </c>
      <c r="C5" s="14"/>
      <c r="D5" s="2" t="s">
        <v>4765</v>
      </c>
      <c r="E5" s="2" t="s">
        <v>1721</v>
      </c>
      <c r="F5" s="7">
        <f>COUNT(B3:B14)</f>
        <v>12</v>
      </c>
    </row>
    <row r="6" spans="1:14" ht="15.6">
      <c r="A6" s="2" t="s">
        <v>310</v>
      </c>
      <c r="B6" s="2">
        <v>76</v>
      </c>
      <c r="C6" s="14"/>
      <c r="D6" s="2" t="s">
        <v>4772</v>
      </c>
      <c r="E6" s="2" t="s">
        <v>4773</v>
      </c>
      <c r="F6" s="7">
        <f>F4/SQRT(F5)</f>
        <v>2.9305944513671411</v>
      </c>
    </row>
    <row r="7" spans="1:14">
      <c r="A7" s="2" t="s">
        <v>51</v>
      </c>
      <c r="B7" s="2">
        <v>82</v>
      </c>
      <c r="C7" s="14"/>
      <c r="D7" s="2" t="s">
        <v>4766</v>
      </c>
      <c r="E7" s="2" t="s">
        <v>4061</v>
      </c>
      <c r="F7" s="7">
        <f>F5-1</f>
        <v>11</v>
      </c>
    </row>
    <row r="8" spans="1:14">
      <c r="A8" s="2" t="s">
        <v>311</v>
      </c>
      <c r="B8" s="2">
        <v>87</v>
      </c>
      <c r="C8" s="14"/>
      <c r="D8" s="2" t="s">
        <v>4767</v>
      </c>
      <c r="E8" s="2" t="s">
        <v>4761</v>
      </c>
      <c r="F8" s="7">
        <v>70</v>
      </c>
      <c r="N8">
        <f>AVERAGE(B3:B14)</f>
        <v>76.833333333333329</v>
      </c>
    </row>
    <row r="9" spans="1:14">
      <c r="A9" s="2" t="s">
        <v>312</v>
      </c>
      <c r="B9" s="2">
        <v>89</v>
      </c>
      <c r="C9" s="14"/>
      <c r="D9" s="2" t="s">
        <v>4768</v>
      </c>
      <c r="E9" s="2" t="s">
        <v>1722</v>
      </c>
      <c r="F9" s="7">
        <f>(F3-F8)/F6</f>
        <v>2.3317226067037473</v>
      </c>
      <c r="N9">
        <f>_xlfn.STDEV.S(B3:B14)</f>
        <v>10.151876972294655</v>
      </c>
    </row>
    <row r="10" spans="1:14">
      <c r="A10" s="2" t="s">
        <v>313</v>
      </c>
      <c r="B10" s="2">
        <v>90</v>
      </c>
      <c r="C10" s="14"/>
      <c r="D10" s="2" t="s">
        <v>4769</v>
      </c>
      <c r="E10" s="2" t="s">
        <v>3763</v>
      </c>
      <c r="F10" s="7">
        <f>TDIST(F9,F7,2)</f>
        <v>3.9748198008094038E-2</v>
      </c>
      <c r="N10">
        <f>COUNT(B3:B14)</f>
        <v>12</v>
      </c>
    </row>
    <row r="11" spans="1:14">
      <c r="A11" s="2" t="s">
        <v>314</v>
      </c>
      <c r="B11" s="2">
        <v>86</v>
      </c>
      <c r="C11" s="14"/>
      <c r="N11">
        <f>F4/SQRT(F5)</f>
        <v>2.9305944513671411</v>
      </c>
    </row>
    <row r="12" spans="1:14">
      <c r="A12" s="2" t="s">
        <v>315</v>
      </c>
      <c r="B12" s="2">
        <v>79</v>
      </c>
      <c r="C12" s="14"/>
      <c r="D12" s="14"/>
      <c r="E12" s="14"/>
      <c r="F12" s="14"/>
      <c r="N12">
        <f>F5-1</f>
        <v>11</v>
      </c>
    </row>
    <row r="13" spans="1:14">
      <c r="A13" s="2" t="s">
        <v>316</v>
      </c>
      <c r="B13" s="2">
        <v>71</v>
      </c>
      <c r="C13" s="14"/>
      <c r="D13" s="14"/>
      <c r="E13" s="14"/>
      <c r="F13" s="14"/>
      <c r="N13">
        <v>70</v>
      </c>
    </row>
    <row r="14" spans="1:14">
      <c r="A14" s="2" t="s">
        <v>317</v>
      </c>
      <c r="B14" s="2">
        <v>64</v>
      </c>
      <c r="C14" s="14"/>
      <c r="D14" s="14"/>
      <c r="E14" s="14"/>
      <c r="F14" s="14"/>
      <c r="N14">
        <f>(F3-F8)/F6</f>
        <v>2.3317226067037473</v>
      </c>
    </row>
    <row r="15" spans="1:14">
      <c r="N15">
        <f>TDIST(F9,F7,2)</f>
        <v>3.9748198008094038E-2</v>
      </c>
    </row>
  </sheetData>
  <mergeCells count="2">
    <mergeCell ref="A1:B1"/>
    <mergeCell ref="D1:F1"/>
  </mergeCells>
  <pageMargins left="0.7" right="0.7" top="0.75" bottom="0.75" header="0.3" footer="0.3"/>
  <pageSetup orientation="portrait" horizontalDpi="4294967293" verticalDpi="0"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F2496-E685-4DF3-BBB5-6615EC3E14EF}">
  <sheetPr codeName="Sheet603"/>
  <dimension ref="B2:C14"/>
  <sheetViews>
    <sheetView workbookViewId="0">
      <selection activeCell="B13" sqref="B13"/>
    </sheetView>
  </sheetViews>
  <sheetFormatPr defaultRowHeight="14.4"/>
  <cols>
    <col min="2" max="2" width="41.44140625" bestFit="1" customWidth="1"/>
    <col min="3" max="3" width="40.109375" bestFit="1" customWidth="1"/>
  </cols>
  <sheetData>
    <row r="2" spans="2:3">
      <c r="B2" s="228" t="s">
        <v>4775</v>
      </c>
      <c r="C2" s="228" t="s">
        <v>4776</v>
      </c>
    </row>
    <row r="3" spans="2:3">
      <c r="B3" s="2">
        <v>1000</v>
      </c>
      <c r="C3" s="2">
        <v>1200</v>
      </c>
    </row>
    <row r="4" spans="2:3">
      <c r="B4" s="2">
        <v>900</v>
      </c>
      <c r="C4" s="2">
        <v>1300</v>
      </c>
    </row>
    <row r="5" spans="2:3">
      <c r="B5" s="2">
        <v>1100</v>
      </c>
      <c r="C5" s="2">
        <v>1350</v>
      </c>
    </row>
    <row r="6" spans="2:3">
      <c r="B6" s="2">
        <v>850</v>
      </c>
      <c r="C6" s="2">
        <v>1250</v>
      </c>
    </row>
    <row r="7" spans="2:3">
      <c r="B7" s="2">
        <v>1200</v>
      </c>
      <c r="C7" s="2">
        <v>1200</v>
      </c>
    </row>
    <row r="8" spans="2:3">
      <c r="B8" s="2">
        <v>950</v>
      </c>
      <c r="C8" s="2">
        <v>1220</v>
      </c>
    </row>
    <row r="9" spans="2:3">
      <c r="B9" s="2">
        <v>700</v>
      </c>
      <c r="C9" s="2">
        <v>1390</v>
      </c>
    </row>
    <row r="10" spans="2:3">
      <c r="B10" s="2">
        <v>1000</v>
      </c>
      <c r="C10" s="2">
        <v>1420</v>
      </c>
    </row>
    <row r="11" spans="2:3">
      <c r="B11" s="2">
        <v>750</v>
      </c>
      <c r="C11" s="2">
        <v>1280</v>
      </c>
    </row>
    <row r="12" spans="2:3">
      <c r="B12" s="2">
        <v>1100</v>
      </c>
      <c r="C12" s="2">
        <v>1200</v>
      </c>
    </row>
    <row r="14" spans="2:3">
      <c r="B14" s="1" t="s">
        <v>4774</v>
      </c>
      <c r="C14" s="7">
        <f>_xlfn.T.TEST(B3:B12,C3:C12,2,1)</f>
        <v>6.9657788663259003E-4</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C8DD-9A3B-4700-8E23-9209EAEE1FB1}">
  <sheetPr codeName="Sheet604"/>
  <dimension ref="A1:D9"/>
  <sheetViews>
    <sheetView workbookViewId="0">
      <selection activeCell="A2" sqref="A2"/>
    </sheetView>
  </sheetViews>
  <sheetFormatPr defaultRowHeight="14.4"/>
  <cols>
    <col min="1" max="1" width="44.44140625" bestFit="1" customWidth="1"/>
    <col min="2" max="2" width="12" bestFit="1" customWidth="1"/>
    <col min="3" max="3" width="10.109375" customWidth="1"/>
    <col min="4" max="4" width="10.109375" bestFit="1" customWidth="1"/>
  </cols>
  <sheetData>
    <row r="1" spans="1:4">
      <c r="A1" s="371" t="s">
        <v>3750</v>
      </c>
      <c r="B1" s="372"/>
      <c r="C1" s="372"/>
      <c r="D1" s="373"/>
    </row>
    <row r="2" spans="1:4">
      <c r="A2" s="1" t="s">
        <v>622</v>
      </c>
      <c r="B2" s="1" t="s">
        <v>3749</v>
      </c>
      <c r="C2" s="1" t="s">
        <v>3756</v>
      </c>
      <c r="D2" s="1" t="s">
        <v>3759</v>
      </c>
    </row>
    <row r="3" spans="1:4">
      <c r="A3" s="2" t="s">
        <v>3751</v>
      </c>
      <c r="B3" s="2" t="s">
        <v>3216</v>
      </c>
      <c r="C3" s="45">
        <v>-2</v>
      </c>
      <c r="D3" s="45">
        <v>-2</v>
      </c>
    </row>
    <row r="4" spans="1:4">
      <c r="A4" s="2" t="s">
        <v>3752</v>
      </c>
      <c r="B4" s="2" t="s">
        <v>3753</v>
      </c>
      <c r="C4" s="2">
        <v>50</v>
      </c>
      <c r="D4" s="2">
        <v>50</v>
      </c>
    </row>
    <row r="5" spans="1:4">
      <c r="A5" s="2" t="s">
        <v>3755</v>
      </c>
      <c r="B5" s="2" t="s">
        <v>3754</v>
      </c>
      <c r="C5" s="45">
        <v>1</v>
      </c>
      <c r="D5" s="45">
        <v>2</v>
      </c>
    </row>
    <row r="8" spans="1:4">
      <c r="A8" s="371" t="s">
        <v>3760</v>
      </c>
      <c r="B8" s="372"/>
      <c r="C8" s="373"/>
      <c r="D8" s="62">
        <f>1-TDIST(2,50,1)</f>
        <v>0.97452646563115342</v>
      </c>
    </row>
    <row r="9" spans="1:4">
      <c r="A9" s="369" t="s">
        <v>3761</v>
      </c>
      <c r="B9" s="369"/>
      <c r="C9" s="369"/>
      <c r="D9" s="62">
        <f>TDIST(2,50,2)</f>
        <v>5.0947068737693245E-2</v>
      </c>
    </row>
  </sheetData>
  <mergeCells count="3">
    <mergeCell ref="A1:D1"/>
    <mergeCell ref="A8:C8"/>
    <mergeCell ref="A9:C9"/>
  </mergeCells>
  <printOptions horizontalCentered="1" verticalCentered="1"/>
  <pageMargins left="0.7" right="0.7" top="0.75" bottom="0.75" header="0.3" footer="0.3"/>
  <pageSetup orientation="portrait" horizontalDpi="4294967293" verticalDpi="0" r:id="rId1"/>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65AE-B76E-4589-BB04-111E97CEAB3A}">
  <sheetPr codeName="Sheet605"/>
  <dimension ref="A1:B4"/>
  <sheetViews>
    <sheetView workbookViewId="0">
      <selection activeCell="G8" sqref="G8"/>
    </sheetView>
  </sheetViews>
  <sheetFormatPr defaultRowHeight="14.4"/>
  <cols>
    <col min="1" max="1" width="19.5546875" bestFit="1" customWidth="1"/>
    <col min="2" max="2" width="9.5546875" bestFit="1" customWidth="1"/>
  </cols>
  <sheetData>
    <row r="1" spans="1:2">
      <c r="A1" s="1" t="s">
        <v>4783</v>
      </c>
      <c r="B1" s="1" t="s">
        <v>4777</v>
      </c>
    </row>
    <row r="2" spans="1:2">
      <c r="A2" s="2" t="s">
        <v>4778</v>
      </c>
      <c r="B2" s="7" t="s">
        <v>4779</v>
      </c>
    </row>
    <row r="3" spans="1:2">
      <c r="A3" s="2" t="s">
        <v>4780</v>
      </c>
      <c r="B3" s="7" t="s">
        <v>4781</v>
      </c>
    </row>
    <row r="4" spans="1:2">
      <c r="A4" s="2" t="s">
        <v>4782</v>
      </c>
      <c r="B4" s="7" t="s">
        <v>367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4DE4-440F-4816-ABBB-4201ADC949C6}">
  <sheetPr codeName="Sheet606">
    <pageSetUpPr fitToPage="1"/>
  </sheetPr>
  <dimension ref="A1:C11"/>
  <sheetViews>
    <sheetView workbookViewId="0">
      <selection activeCell="G8" sqref="G8"/>
    </sheetView>
  </sheetViews>
  <sheetFormatPr defaultRowHeight="14.4"/>
  <cols>
    <col min="1" max="1" width="13.5546875" bestFit="1" customWidth="1"/>
    <col min="2" max="2" width="19.33203125" bestFit="1" customWidth="1"/>
    <col min="3" max="3" width="18.33203125" bestFit="1" customWidth="1"/>
  </cols>
  <sheetData>
    <row r="1" spans="1:3">
      <c r="A1" s="1" t="s">
        <v>155</v>
      </c>
      <c r="B1" s="1" t="s">
        <v>369</v>
      </c>
      <c r="C1" s="1" t="s">
        <v>4784</v>
      </c>
    </row>
    <row r="2" spans="1:3">
      <c r="A2" s="3" t="s">
        <v>4785</v>
      </c>
      <c r="B2" s="2" t="s">
        <v>4795</v>
      </c>
      <c r="C2" s="53">
        <v>110000</v>
      </c>
    </row>
    <row r="3" spans="1:3">
      <c r="A3" s="3" t="s">
        <v>4786</v>
      </c>
      <c r="B3" s="2" t="s">
        <v>4796</v>
      </c>
      <c r="C3" s="53">
        <v>77669</v>
      </c>
    </row>
    <row r="4" spans="1:3">
      <c r="A4" s="3" t="s">
        <v>4787</v>
      </c>
      <c r="B4" s="2" t="s">
        <v>3133</v>
      </c>
      <c r="C4" s="53">
        <v>61043</v>
      </c>
    </row>
    <row r="5" spans="1:3">
      <c r="A5" s="3" t="s">
        <v>4788</v>
      </c>
      <c r="B5" s="2" t="s">
        <v>383</v>
      </c>
      <c r="C5" s="53">
        <v>55110</v>
      </c>
    </row>
    <row r="6" spans="1:3">
      <c r="A6" s="3" t="s">
        <v>4789</v>
      </c>
      <c r="B6" s="2" t="s">
        <v>383</v>
      </c>
      <c r="C6" s="53">
        <v>53290</v>
      </c>
    </row>
    <row r="7" spans="1:3">
      <c r="A7" s="3" t="s">
        <v>4790</v>
      </c>
      <c r="B7" s="2" t="s">
        <v>382</v>
      </c>
      <c r="C7" s="53">
        <v>49612</v>
      </c>
    </row>
    <row r="8" spans="1:3">
      <c r="A8" s="3" t="s">
        <v>4791</v>
      </c>
      <c r="B8" s="2" t="s">
        <v>382</v>
      </c>
      <c r="C8" s="53">
        <v>46380</v>
      </c>
    </row>
    <row r="9" spans="1:3">
      <c r="A9" s="3" t="s">
        <v>4792</v>
      </c>
      <c r="B9" s="2" t="s">
        <v>381</v>
      </c>
      <c r="C9" s="53">
        <v>36518</v>
      </c>
    </row>
    <row r="10" spans="1:3">
      <c r="A10" s="3" t="s">
        <v>4793</v>
      </c>
      <c r="B10" s="2" t="s">
        <v>381</v>
      </c>
      <c r="C10" s="53">
        <v>35745</v>
      </c>
    </row>
    <row r="11" spans="1:3">
      <c r="A11" s="3" t="s">
        <v>4794</v>
      </c>
      <c r="B11" s="2" t="s">
        <v>381</v>
      </c>
      <c r="C11" s="53">
        <v>23812</v>
      </c>
    </row>
  </sheetData>
  <printOptions horizontalCentered="1" verticalCentered="1"/>
  <pageMargins left="0.7" right="0.7" top="0.75" bottom="0.75" header="0.3" footer="0.3"/>
  <pageSetup paperSize="8" orientation="landscape" horizontalDpi="4294967292" verticalDpi="0"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1E9-6176-41A8-A00C-430731397B39}">
  <sheetPr codeName="Sheet607"/>
  <dimension ref="B2:C7"/>
  <sheetViews>
    <sheetView workbookViewId="0">
      <selection activeCell="G8" sqref="G8"/>
    </sheetView>
  </sheetViews>
  <sheetFormatPr defaultRowHeight="14.4"/>
  <cols>
    <col min="2" max="2" width="19.5546875" style="14" bestFit="1" customWidth="1"/>
    <col min="3" max="3" width="23" style="14" bestFit="1" customWidth="1"/>
  </cols>
  <sheetData>
    <row r="2" spans="2:3">
      <c r="B2" s="1" t="s">
        <v>4783</v>
      </c>
      <c r="C2" s="1" t="s">
        <v>4777</v>
      </c>
    </row>
    <row r="3" spans="2:3">
      <c r="B3" s="2" t="s">
        <v>4778</v>
      </c>
      <c r="C3" s="7" t="s">
        <v>4779</v>
      </c>
    </row>
    <row r="4" spans="2:3">
      <c r="B4" s="2" t="s">
        <v>4797</v>
      </c>
      <c r="C4" s="7" t="s">
        <v>4798</v>
      </c>
    </row>
    <row r="5" spans="2:3">
      <c r="B5" s="2" t="s">
        <v>4799</v>
      </c>
      <c r="C5" s="7" t="s">
        <v>4846</v>
      </c>
    </row>
    <row r="6" spans="2:3">
      <c r="B6" s="2" t="s">
        <v>4782</v>
      </c>
      <c r="C6" s="7" t="s">
        <v>367</v>
      </c>
    </row>
    <row r="7" spans="2:3">
      <c r="B7" s="2" t="s">
        <v>4800</v>
      </c>
      <c r="C7" s="7" t="s">
        <v>4801</v>
      </c>
    </row>
  </sheetData>
  <pageMargins left="0.7" right="0.7" top="0.75" bottom="0.75" header="0.3" footer="0.3"/>
  <pageSetup orientation="portrait" horizontalDpi="4294967293" verticalDpi="0" r:id="rId1"/>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2226-C557-4BF4-9D7F-499C5581165E}">
  <sheetPr codeName="Sheet608"/>
  <dimension ref="A1:D6"/>
  <sheetViews>
    <sheetView workbookViewId="0">
      <selection activeCell="G8" sqref="G8"/>
    </sheetView>
  </sheetViews>
  <sheetFormatPr defaultRowHeight="14.4"/>
  <cols>
    <col min="1" max="1" width="9.44140625" bestFit="1" customWidth="1"/>
    <col min="2" max="2" width="10.109375" bestFit="1" customWidth="1"/>
    <col min="3" max="3" width="15.109375" bestFit="1" customWidth="1"/>
  </cols>
  <sheetData>
    <row r="1" spans="1:4">
      <c r="A1" s="1" t="s">
        <v>229</v>
      </c>
      <c r="B1" s="1" t="s">
        <v>706</v>
      </c>
      <c r="C1" s="1" t="s">
        <v>4040</v>
      </c>
      <c r="D1" s="1" t="s">
        <v>4802</v>
      </c>
    </row>
    <row r="2" spans="1:4">
      <c r="A2" s="2" t="s">
        <v>4803</v>
      </c>
      <c r="B2" s="20">
        <v>44581</v>
      </c>
      <c r="C2" s="2">
        <v>5000</v>
      </c>
      <c r="D2" s="2" t="s">
        <v>4808</v>
      </c>
    </row>
    <row r="3" spans="1:4">
      <c r="A3" s="2" t="s">
        <v>4804</v>
      </c>
      <c r="B3" s="20">
        <v>44583</v>
      </c>
      <c r="C3" s="2">
        <v>4500</v>
      </c>
      <c r="D3" s="2" t="s">
        <v>4809</v>
      </c>
    </row>
    <row r="4" spans="1:4">
      <c r="A4" s="2" t="s">
        <v>4805</v>
      </c>
      <c r="B4" s="20">
        <v>44588</v>
      </c>
      <c r="C4" s="2">
        <v>6100</v>
      </c>
      <c r="D4" s="2" t="s">
        <v>4808</v>
      </c>
    </row>
    <row r="5" spans="1:4">
      <c r="A5" s="2" t="s">
        <v>4806</v>
      </c>
      <c r="B5" s="20">
        <v>44591</v>
      </c>
      <c r="C5" s="2">
        <v>1500</v>
      </c>
      <c r="D5" s="2" t="s">
        <v>4808</v>
      </c>
    </row>
    <row r="6" spans="1:4">
      <c r="A6" s="2" t="s">
        <v>4807</v>
      </c>
      <c r="B6" s="20">
        <v>44602</v>
      </c>
      <c r="C6" s="2">
        <v>5500</v>
      </c>
      <c r="D6" s="2" t="s">
        <v>4809</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B6B6-8D39-401E-9259-A9DE0871D49B}">
  <sheetPr codeName="Sheet609"/>
  <dimension ref="A1:N24"/>
  <sheetViews>
    <sheetView zoomScale="80" zoomScaleNormal="80" workbookViewId="0">
      <selection activeCell="G8" sqref="G8"/>
    </sheetView>
  </sheetViews>
  <sheetFormatPr defaultRowHeight="14.4"/>
  <cols>
    <col min="1" max="1" width="18.88671875" bestFit="1" customWidth="1"/>
    <col min="2" max="13" width="10.44140625" customWidth="1"/>
    <col min="14" max="14" width="19.6640625" bestFit="1" customWidth="1"/>
  </cols>
  <sheetData>
    <row r="1" spans="1:14" ht="28.8">
      <c r="A1" s="68" t="s">
        <v>709</v>
      </c>
      <c r="B1" s="8" t="s">
        <v>4834</v>
      </c>
      <c r="C1" s="8" t="s">
        <v>4835</v>
      </c>
      <c r="D1" s="8" t="s">
        <v>4836</v>
      </c>
      <c r="E1" s="8" t="s">
        <v>4837</v>
      </c>
      <c r="F1" s="8" t="s">
        <v>4838</v>
      </c>
      <c r="G1" s="8" t="s">
        <v>4839</v>
      </c>
      <c r="H1" s="8" t="s">
        <v>4840</v>
      </c>
      <c r="I1" s="8" t="s">
        <v>4841</v>
      </c>
      <c r="J1" s="8" t="s">
        <v>4842</v>
      </c>
      <c r="K1" s="8" t="s">
        <v>4843</v>
      </c>
      <c r="L1" s="8" t="s">
        <v>4844</v>
      </c>
      <c r="M1" s="8" t="s">
        <v>4845</v>
      </c>
      <c r="N1" s="68" t="s">
        <v>4810</v>
      </c>
    </row>
    <row r="2" spans="1:14">
      <c r="A2" s="2" t="s">
        <v>4811</v>
      </c>
      <c r="B2" s="53">
        <v>1000</v>
      </c>
      <c r="C2" s="53">
        <v>1190</v>
      </c>
      <c r="D2" s="53">
        <v>1320</v>
      </c>
      <c r="E2" s="53">
        <v>1129</v>
      </c>
      <c r="F2" s="53">
        <v>1142</v>
      </c>
      <c r="G2" s="53">
        <v>1184</v>
      </c>
      <c r="H2" s="53">
        <v>1239</v>
      </c>
      <c r="I2" s="53">
        <v>1285</v>
      </c>
      <c r="J2" s="53">
        <v>1493</v>
      </c>
      <c r="K2" s="53">
        <v>1500</v>
      </c>
      <c r="L2" s="53">
        <v>1241</v>
      </c>
      <c r="M2" s="53">
        <v>1277</v>
      </c>
      <c r="N2" s="53">
        <v>15000</v>
      </c>
    </row>
    <row r="3" spans="1:14">
      <c r="A3" s="2" t="s">
        <v>4812</v>
      </c>
      <c r="B3" s="53">
        <v>1200</v>
      </c>
      <c r="C3" s="53">
        <v>1390</v>
      </c>
      <c r="D3" s="53">
        <v>1520</v>
      </c>
      <c r="E3" s="53">
        <v>1329</v>
      </c>
      <c r="F3" s="53">
        <v>1342</v>
      </c>
      <c r="G3" s="53">
        <v>1384</v>
      </c>
      <c r="H3" s="53">
        <v>1439</v>
      </c>
      <c r="I3" s="53">
        <v>1485</v>
      </c>
      <c r="J3" s="53">
        <v>1693</v>
      </c>
      <c r="K3" s="53">
        <v>1700</v>
      </c>
      <c r="L3" s="53">
        <v>1441</v>
      </c>
      <c r="M3" s="53">
        <v>1477</v>
      </c>
      <c r="N3" s="53">
        <v>17400</v>
      </c>
    </row>
    <row r="4" spans="1:14">
      <c r="A4" s="2" t="s">
        <v>4813</v>
      </c>
      <c r="B4" s="53">
        <v>1700</v>
      </c>
      <c r="C4" s="53">
        <v>1890</v>
      </c>
      <c r="D4" s="53">
        <v>2020</v>
      </c>
      <c r="E4" s="53">
        <v>1829</v>
      </c>
      <c r="F4" s="53">
        <v>1842</v>
      </c>
      <c r="G4" s="53">
        <v>1884</v>
      </c>
      <c r="H4" s="53">
        <v>1939</v>
      </c>
      <c r="I4" s="53">
        <v>1985</v>
      </c>
      <c r="J4" s="53">
        <v>2193</v>
      </c>
      <c r="K4" s="53">
        <v>2200</v>
      </c>
      <c r="L4" s="53">
        <v>1941</v>
      </c>
      <c r="M4" s="53">
        <v>1977</v>
      </c>
      <c r="N4" s="53">
        <v>23400</v>
      </c>
    </row>
    <row r="5" spans="1:14">
      <c r="A5" s="2" t="s">
        <v>4814</v>
      </c>
      <c r="B5" s="53">
        <v>1400</v>
      </c>
      <c r="C5" s="53">
        <v>1590</v>
      </c>
      <c r="D5" s="53">
        <v>1720</v>
      </c>
      <c r="E5" s="53">
        <v>1529</v>
      </c>
      <c r="F5" s="53">
        <v>1542</v>
      </c>
      <c r="G5" s="53">
        <v>1584</v>
      </c>
      <c r="H5" s="53">
        <v>1639</v>
      </c>
      <c r="I5" s="53">
        <v>1685</v>
      </c>
      <c r="J5" s="53">
        <v>1893</v>
      </c>
      <c r="K5" s="53">
        <v>1900</v>
      </c>
      <c r="L5" s="53">
        <v>1641</v>
      </c>
      <c r="M5" s="53">
        <v>1677</v>
      </c>
      <c r="N5" s="53">
        <v>19800</v>
      </c>
    </row>
    <row r="6" spans="1:14">
      <c r="A6" s="2" t="s">
        <v>4815</v>
      </c>
      <c r="B6" s="53">
        <v>1300</v>
      </c>
      <c r="C6" s="53">
        <v>1490</v>
      </c>
      <c r="D6" s="53">
        <v>1620</v>
      </c>
      <c r="E6" s="53">
        <v>1429</v>
      </c>
      <c r="F6" s="53">
        <v>1442</v>
      </c>
      <c r="G6" s="53">
        <v>1484</v>
      </c>
      <c r="H6" s="53">
        <v>1539</v>
      </c>
      <c r="I6" s="53">
        <v>1585</v>
      </c>
      <c r="J6" s="53">
        <v>1793</v>
      </c>
      <c r="K6" s="53">
        <v>1800</v>
      </c>
      <c r="L6" s="53">
        <v>1541</v>
      </c>
      <c r="M6" s="53">
        <v>1577</v>
      </c>
      <c r="N6" s="53">
        <v>18600</v>
      </c>
    </row>
    <row r="7" spans="1:14">
      <c r="A7" s="2" t="s">
        <v>4816</v>
      </c>
      <c r="B7" s="53">
        <v>1450</v>
      </c>
      <c r="C7" s="53">
        <v>1640</v>
      </c>
      <c r="D7" s="53">
        <v>1770</v>
      </c>
      <c r="E7" s="53">
        <v>1579</v>
      </c>
      <c r="F7" s="53">
        <v>1592</v>
      </c>
      <c r="G7" s="53">
        <v>1634</v>
      </c>
      <c r="H7" s="53">
        <v>1689</v>
      </c>
      <c r="I7" s="53">
        <v>1735</v>
      </c>
      <c r="J7" s="53">
        <v>1943</v>
      </c>
      <c r="K7" s="53">
        <v>1950</v>
      </c>
      <c r="L7" s="53">
        <v>1691</v>
      </c>
      <c r="M7" s="53">
        <v>1727</v>
      </c>
      <c r="N7" s="53">
        <v>20400</v>
      </c>
    </row>
    <row r="8" spans="1:14">
      <c r="A8" s="2" t="s">
        <v>4817</v>
      </c>
      <c r="B8" s="53">
        <v>1600</v>
      </c>
      <c r="C8" s="53">
        <v>1790</v>
      </c>
      <c r="D8" s="53">
        <v>1920</v>
      </c>
      <c r="E8" s="53">
        <v>1729</v>
      </c>
      <c r="F8" s="53">
        <v>1742</v>
      </c>
      <c r="G8" s="53">
        <v>1784</v>
      </c>
      <c r="H8" s="53">
        <v>1839</v>
      </c>
      <c r="I8" s="53">
        <v>1885</v>
      </c>
      <c r="J8" s="53">
        <v>2093</v>
      </c>
      <c r="K8" s="53">
        <v>2100</v>
      </c>
      <c r="L8" s="53">
        <v>1841</v>
      </c>
      <c r="M8" s="53">
        <v>1877</v>
      </c>
      <c r="N8" s="53">
        <v>22200</v>
      </c>
    </row>
    <row r="9" spans="1:14">
      <c r="A9" s="2" t="s">
        <v>4818</v>
      </c>
      <c r="B9" s="53">
        <v>1500</v>
      </c>
      <c r="C9" s="53">
        <v>1690</v>
      </c>
      <c r="D9" s="53">
        <v>1820</v>
      </c>
      <c r="E9" s="53">
        <v>1629</v>
      </c>
      <c r="F9" s="53">
        <v>1642</v>
      </c>
      <c r="G9" s="53">
        <v>1684</v>
      </c>
      <c r="H9" s="53">
        <v>1739</v>
      </c>
      <c r="I9" s="53">
        <v>1785</v>
      </c>
      <c r="J9" s="53">
        <v>1993</v>
      </c>
      <c r="K9" s="53">
        <v>2000</v>
      </c>
      <c r="L9" s="53">
        <v>1741</v>
      </c>
      <c r="M9" s="53">
        <v>1777</v>
      </c>
      <c r="N9" s="53">
        <v>21000</v>
      </c>
    </row>
    <row r="10" spans="1:14">
      <c r="A10" s="2" t="s">
        <v>4819</v>
      </c>
      <c r="B10" s="53">
        <v>1220</v>
      </c>
      <c r="C10" s="53">
        <v>1410</v>
      </c>
      <c r="D10" s="53">
        <v>1540</v>
      </c>
      <c r="E10" s="53">
        <v>1349</v>
      </c>
      <c r="F10" s="53">
        <v>1362</v>
      </c>
      <c r="G10" s="53">
        <v>1404</v>
      </c>
      <c r="H10" s="53">
        <v>1459</v>
      </c>
      <c r="I10" s="53">
        <v>1505</v>
      </c>
      <c r="J10" s="53">
        <v>1713</v>
      </c>
      <c r="K10" s="53">
        <v>1720</v>
      </c>
      <c r="L10" s="53">
        <v>1461</v>
      </c>
      <c r="M10" s="53">
        <v>1497</v>
      </c>
      <c r="N10" s="53">
        <v>17640</v>
      </c>
    </row>
    <row r="11" spans="1:14">
      <c r="A11" s="2" t="s">
        <v>4820</v>
      </c>
      <c r="B11" s="53">
        <v>1820</v>
      </c>
      <c r="C11" s="53">
        <v>2010</v>
      </c>
      <c r="D11" s="53">
        <v>2140</v>
      </c>
      <c r="E11" s="53">
        <v>1949</v>
      </c>
      <c r="F11" s="53">
        <v>1962</v>
      </c>
      <c r="G11" s="53">
        <v>2004</v>
      </c>
      <c r="H11" s="53">
        <v>2059</v>
      </c>
      <c r="I11" s="53">
        <v>2105</v>
      </c>
      <c r="J11" s="53">
        <v>2313</v>
      </c>
      <c r="K11" s="53">
        <v>2320</v>
      </c>
      <c r="L11" s="53">
        <v>2061</v>
      </c>
      <c r="M11" s="53">
        <v>2097</v>
      </c>
      <c r="N11" s="53">
        <v>24840</v>
      </c>
    </row>
    <row r="12" spans="1:14">
      <c r="A12" s="2" t="s">
        <v>4821</v>
      </c>
      <c r="B12" s="53">
        <v>1590</v>
      </c>
      <c r="C12" s="53">
        <v>1780</v>
      </c>
      <c r="D12" s="53">
        <v>1910</v>
      </c>
      <c r="E12" s="53">
        <v>1719</v>
      </c>
      <c r="F12" s="53">
        <v>1732</v>
      </c>
      <c r="G12" s="53">
        <v>1774</v>
      </c>
      <c r="H12" s="53">
        <v>1829</v>
      </c>
      <c r="I12" s="53">
        <v>1875</v>
      </c>
      <c r="J12" s="53">
        <v>2083</v>
      </c>
      <c r="K12" s="53">
        <v>2090</v>
      </c>
      <c r="L12" s="53">
        <v>1831</v>
      </c>
      <c r="M12" s="53">
        <v>1867</v>
      </c>
      <c r="N12" s="53">
        <v>22080</v>
      </c>
    </row>
    <row r="13" spans="1:14">
      <c r="A13" s="2" t="s">
        <v>4822</v>
      </c>
      <c r="B13" s="53">
        <v>1680</v>
      </c>
      <c r="C13" s="53">
        <v>1870</v>
      </c>
      <c r="D13" s="53">
        <v>2000</v>
      </c>
      <c r="E13" s="53">
        <v>1809</v>
      </c>
      <c r="F13" s="53">
        <v>1822</v>
      </c>
      <c r="G13" s="53">
        <v>1864</v>
      </c>
      <c r="H13" s="53">
        <v>1919</v>
      </c>
      <c r="I13" s="53">
        <v>1965</v>
      </c>
      <c r="J13" s="53">
        <v>2173</v>
      </c>
      <c r="K13" s="53">
        <v>2180</v>
      </c>
      <c r="L13" s="53">
        <v>1921</v>
      </c>
      <c r="M13" s="53">
        <v>1957</v>
      </c>
      <c r="N13" s="53">
        <v>23160</v>
      </c>
    </row>
    <row r="14" spans="1:14">
      <c r="A14" s="2" t="s">
        <v>4823</v>
      </c>
      <c r="B14" s="53">
        <v>1310</v>
      </c>
      <c r="C14" s="53">
        <v>1500</v>
      </c>
      <c r="D14" s="53">
        <v>1630</v>
      </c>
      <c r="E14" s="53">
        <v>1439</v>
      </c>
      <c r="F14" s="53">
        <v>1452</v>
      </c>
      <c r="G14" s="53">
        <v>1494</v>
      </c>
      <c r="H14" s="53">
        <v>1549</v>
      </c>
      <c r="I14" s="53">
        <v>1595</v>
      </c>
      <c r="J14" s="53">
        <v>1803</v>
      </c>
      <c r="K14" s="53">
        <v>1810</v>
      </c>
      <c r="L14" s="53">
        <v>1551</v>
      </c>
      <c r="M14" s="53">
        <v>1587</v>
      </c>
      <c r="N14" s="53">
        <v>18720</v>
      </c>
    </row>
    <row r="15" spans="1:14">
      <c r="A15" s="2" t="s">
        <v>4824</v>
      </c>
      <c r="B15" s="53">
        <v>1640</v>
      </c>
      <c r="C15" s="53">
        <v>1830</v>
      </c>
      <c r="D15" s="53">
        <v>1960</v>
      </c>
      <c r="E15" s="53">
        <v>1769</v>
      </c>
      <c r="F15" s="53">
        <v>1782</v>
      </c>
      <c r="G15" s="53">
        <v>1824</v>
      </c>
      <c r="H15" s="53">
        <v>1879</v>
      </c>
      <c r="I15" s="53">
        <v>1925</v>
      </c>
      <c r="J15" s="53">
        <v>2133</v>
      </c>
      <c r="K15" s="53">
        <v>2140</v>
      </c>
      <c r="L15" s="53">
        <v>1881</v>
      </c>
      <c r="M15" s="53">
        <v>1917</v>
      </c>
      <c r="N15" s="53">
        <v>22680</v>
      </c>
    </row>
    <row r="16" spans="1:14">
      <c r="A16" s="2" t="s">
        <v>4825</v>
      </c>
      <c r="B16" s="53">
        <v>1225</v>
      </c>
      <c r="C16" s="53">
        <v>1415</v>
      </c>
      <c r="D16" s="53">
        <v>1545</v>
      </c>
      <c r="E16" s="53">
        <v>1354</v>
      </c>
      <c r="F16" s="53">
        <v>1367</v>
      </c>
      <c r="G16" s="53">
        <v>1409</v>
      </c>
      <c r="H16" s="53">
        <v>1464</v>
      </c>
      <c r="I16" s="53">
        <v>1510</v>
      </c>
      <c r="J16" s="53">
        <v>1718</v>
      </c>
      <c r="K16" s="53">
        <v>1725</v>
      </c>
      <c r="L16" s="53">
        <v>1466</v>
      </c>
      <c r="M16" s="53">
        <v>1502</v>
      </c>
      <c r="N16" s="53">
        <v>17700</v>
      </c>
    </row>
    <row r="17" spans="1:14">
      <c r="A17" s="2" t="s">
        <v>4826</v>
      </c>
      <c r="B17" s="53">
        <v>1735</v>
      </c>
      <c r="C17" s="53">
        <v>1925</v>
      </c>
      <c r="D17" s="53">
        <v>2055</v>
      </c>
      <c r="E17" s="53">
        <v>1864</v>
      </c>
      <c r="F17" s="53">
        <v>1877</v>
      </c>
      <c r="G17" s="53">
        <v>1919</v>
      </c>
      <c r="H17" s="53">
        <v>1974</v>
      </c>
      <c r="I17" s="53">
        <v>2020</v>
      </c>
      <c r="J17" s="53">
        <v>2228</v>
      </c>
      <c r="K17" s="53">
        <v>2235</v>
      </c>
      <c r="L17" s="53">
        <v>1976</v>
      </c>
      <c r="M17" s="53">
        <v>2012</v>
      </c>
      <c r="N17" s="53">
        <v>23820</v>
      </c>
    </row>
    <row r="18" spans="1:14">
      <c r="A18" s="2" t="s">
        <v>4827</v>
      </c>
      <c r="B18" s="53">
        <v>1640</v>
      </c>
      <c r="C18" s="53">
        <v>1830</v>
      </c>
      <c r="D18" s="53">
        <v>1960</v>
      </c>
      <c r="E18" s="53">
        <v>1769</v>
      </c>
      <c r="F18" s="53">
        <v>1782</v>
      </c>
      <c r="G18" s="53">
        <v>1824</v>
      </c>
      <c r="H18" s="53">
        <v>1879</v>
      </c>
      <c r="I18" s="53">
        <v>1925</v>
      </c>
      <c r="J18" s="53">
        <v>2133</v>
      </c>
      <c r="K18" s="53">
        <v>2140</v>
      </c>
      <c r="L18" s="53">
        <v>1881</v>
      </c>
      <c r="M18" s="53">
        <v>1917</v>
      </c>
      <c r="N18" s="53">
        <v>22680</v>
      </c>
    </row>
    <row r="19" spans="1:14">
      <c r="A19" s="2" t="s">
        <v>4828</v>
      </c>
      <c r="B19" s="53">
        <v>1693</v>
      </c>
      <c r="C19" s="53">
        <v>1883</v>
      </c>
      <c r="D19" s="53">
        <v>2013</v>
      </c>
      <c r="E19" s="53">
        <v>1822</v>
      </c>
      <c r="F19" s="53">
        <v>1835</v>
      </c>
      <c r="G19" s="53">
        <v>1877</v>
      </c>
      <c r="H19" s="53">
        <v>1932</v>
      </c>
      <c r="I19" s="53">
        <v>1978</v>
      </c>
      <c r="J19" s="53">
        <v>2186</v>
      </c>
      <c r="K19" s="53">
        <v>2193</v>
      </c>
      <c r="L19" s="53">
        <v>1934</v>
      </c>
      <c r="M19" s="53">
        <v>1970</v>
      </c>
      <c r="N19" s="53">
        <v>23316</v>
      </c>
    </row>
    <row r="20" spans="1:14">
      <c r="A20" s="2" t="s">
        <v>4829</v>
      </c>
      <c r="B20" s="53">
        <v>950</v>
      </c>
      <c r="C20" s="53">
        <v>1140</v>
      </c>
      <c r="D20" s="53">
        <v>1270</v>
      </c>
      <c r="E20" s="53">
        <v>1079</v>
      </c>
      <c r="F20" s="53">
        <v>1092</v>
      </c>
      <c r="G20" s="53">
        <v>1134</v>
      </c>
      <c r="H20" s="53">
        <v>1189</v>
      </c>
      <c r="I20" s="53">
        <v>1235</v>
      </c>
      <c r="J20" s="53">
        <v>1443</v>
      </c>
      <c r="K20" s="53">
        <v>1450</v>
      </c>
      <c r="L20" s="53">
        <v>1191</v>
      </c>
      <c r="M20" s="53">
        <v>1227</v>
      </c>
      <c r="N20" s="53">
        <v>14400</v>
      </c>
    </row>
    <row r="21" spans="1:14">
      <c r="A21" s="2" t="s">
        <v>4830</v>
      </c>
      <c r="B21" s="53">
        <v>1630</v>
      </c>
      <c r="C21" s="53">
        <v>1820</v>
      </c>
      <c r="D21" s="53">
        <v>1950</v>
      </c>
      <c r="E21" s="53">
        <v>1759</v>
      </c>
      <c r="F21" s="53">
        <v>1772</v>
      </c>
      <c r="G21" s="53">
        <v>1814</v>
      </c>
      <c r="H21" s="53">
        <v>1869</v>
      </c>
      <c r="I21" s="53">
        <v>1915</v>
      </c>
      <c r="J21" s="53">
        <v>2123</v>
      </c>
      <c r="K21" s="53">
        <v>2130</v>
      </c>
      <c r="L21" s="53">
        <v>1871</v>
      </c>
      <c r="M21" s="53">
        <v>1907</v>
      </c>
      <c r="N21" s="53">
        <v>22560</v>
      </c>
    </row>
    <row r="22" spans="1:14">
      <c r="A22" s="2" t="s">
        <v>4831</v>
      </c>
      <c r="B22" s="53">
        <v>1795</v>
      </c>
      <c r="C22" s="53">
        <v>1985</v>
      </c>
      <c r="D22" s="53">
        <v>2115</v>
      </c>
      <c r="E22" s="53">
        <v>1924</v>
      </c>
      <c r="F22" s="53">
        <v>1937</v>
      </c>
      <c r="G22" s="53">
        <v>1979</v>
      </c>
      <c r="H22" s="53">
        <v>2034</v>
      </c>
      <c r="I22" s="53">
        <v>2080</v>
      </c>
      <c r="J22" s="53">
        <v>2288</v>
      </c>
      <c r="K22" s="53">
        <v>2295</v>
      </c>
      <c r="L22" s="53">
        <v>2036</v>
      </c>
      <c r="M22" s="53">
        <v>2072</v>
      </c>
      <c r="N22" s="53">
        <v>24540</v>
      </c>
    </row>
    <row r="23" spans="1:14">
      <c r="A23" s="2" t="s">
        <v>4832</v>
      </c>
      <c r="B23" s="53">
        <v>1665</v>
      </c>
      <c r="C23" s="53">
        <v>1855</v>
      </c>
      <c r="D23" s="53">
        <v>1985</v>
      </c>
      <c r="E23" s="53">
        <v>1794</v>
      </c>
      <c r="F23" s="53">
        <v>1807</v>
      </c>
      <c r="G23" s="53">
        <v>1849</v>
      </c>
      <c r="H23" s="53">
        <v>1904</v>
      </c>
      <c r="I23" s="53">
        <v>1950</v>
      </c>
      <c r="J23" s="53">
        <v>2158</v>
      </c>
      <c r="K23" s="53">
        <v>2165</v>
      </c>
      <c r="L23" s="53">
        <v>1906</v>
      </c>
      <c r="M23" s="53">
        <v>1942</v>
      </c>
      <c r="N23" s="53">
        <v>22980</v>
      </c>
    </row>
    <row r="24" spans="1:14">
      <c r="A24" s="2" t="s">
        <v>4833</v>
      </c>
      <c r="B24" s="53">
        <v>720</v>
      </c>
      <c r="C24" s="53">
        <v>910</v>
      </c>
      <c r="D24" s="53">
        <v>1040</v>
      </c>
      <c r="E24" s="53">
        <v>849</v>
      </c>
      <c r="F24" s="53">
        <v>862</v>
      </c>
      <c r="G24" s="53">
        <v>904</v>
      </c>
      <c r="H24" s="53">
        <v>959</v>
      </c>
      <c r="I24" s="53">
        <v>1005</v>
      </c>
      <c r="J24" s="53">
        <v>1213</v>
      </c>
      <c r="K24" s="53">
        <v>1220</v>
      </c>
      <c r="L24" s="53">
        <v>961</v>
      </c>
      <c r="M24" s="53">
        <v>997</v>
      </c>
      <c r="N24" s="53">
        <v>11640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F98-E437-4298-9042-696509AC37F7}">
  <sheetPr codeName="Sheet610"/>
  <dimension ref="A1:C15"/>
  <sheetViews>
    <sheetView workbookViewId="0">
      <selection activeCell="G8" sqref="G8"/>
    </sheetView>
  </sheetViews>
  <sheetFormatPr defaultRowHeight="14.4"/>
  <cols>
    <col min="1" max="1" width="12.44140625" customWidth="1"/>
    <col min="2" max="3" width="11.33203125" customWidth="1"/>
  </cols>
  <sheetData>
    <row r="1" spans="1:3">
      <c r="A1" s="371" t="s">
        <v>4857</v>
      </c>
      <c r="B1" s="372"/>
      <c r="C1" s="373"/>
    </row>
    <row r="2" spans="1:3">
      <c r="A2" s="2"/>
      <c r="B2" s="1" t="s">
        <v>4847</v>
      </c>
      <c r="C2" s="1" t="s">
        <v>4848</v>
      </c>
    </row>
    <row r="3" spans="1:3">
      <c r="A3" s="1" t="s">
        <v>4849</v>
      </c>
      <c r="B3" s="2"/>
      <c r="C3" s="2"/>
    </row>
    <row r="4" spans="1:3">
      <c r="A4" s="2" t="s">
        <v>4850</v>
      </c>
      <c r="B4" s="95">
        <v>2281</v>
      </c>
      <c r="C4" s="95">
        <v>2635</v>
      </c>
    </row>
    <row r="5" spans="1:3">
      <c r="A5" s="2" t="s">
        <v>4851</v>
      </c>
      <c r="B5" s="2">
        <v>556</v>
      </c>
      <c r="C5" s="95">
        <v>1084</v>
      </c>
    </row>
    <row r="6" spans="1:3">
      <c r="A6" s="2" t="s">
        <v>4852</v>
      </c>
      <c r="B6" s="2">
        <v>83</v>
      </c>
      <c r="C6" s="2">
        <v>162</v>
      </c>
    </row>
    <row r="7" spans="1:3">
      <c r="A7" s="2" t="s">
        <v>4257</v>
      </c>
      <c r="B7" s="95">
        <v>2920</v>
      </c>
      <c r="C7" s="95">
        <v>3881</v>
      </c>
    </row>
    <row r="8" spans="1:3">
      <c r="A8" s="1" t="s">
        <v>4853</v>
      </c>
      <c r="B8" s="2"/>
      <c r="C8" s="2"/>
    </row>
    <row r="9" spans="1:3">
      <c r="A9" s="2" t="s">
        <v>4854</v>
      </c>
      <c r="B9" s="2">
        <v>19</v>
      </c>
      <c r="C9" s="2">
        <v>28</v>
      </c>
    </row>
    <row r="10" spans="1:3">
      <c r="A10" s="2" t="s">
        <v>4855</v>
      </c>
      <c r="B10" s="2">
        <v>37</v>
      </c>
      <c r="C10" s="2">
        <v>132</v>
      </c>
    </row>
    <row r="11" spans="1:3">
      <c r="A11" s="1" t="s">
        <v>4856</v>
      </c>
      <c r="B11" s="2"/>
      <c r="C11" s="2"/>
    </row>
    <row r="12" spans="1:3">
      <c r="A12" s="2" t="s">
        <v>4257</v>
      </c>
      <c r="B12" s="95">
        <v>623979435</v>
      </c>
      <c r="C12" s="95">
        <v>919879403</v>
      </c>
    </row>
    <row r="13" spans="1:3">
      <c r="A13" s="2" t="s">
        <v>4850</v>
      </c>
      <c r="B13" s="95">
        <v>519624133</v>
      </c>
      <c r="C13" s="95">
        <v>677327615</v>
      </c>
    </row>
    <row r="14" spans="1:3">
      <c r="A14" s="2" t="s">
        <v>4851</v>
      </c>
      <c r="B14" s="95">
        <v>99382643</v>
      </c>
      <c r="C14" s="95">
        <v>236231658</v>
      </c>
    </row>
    <row r="15" spans="1:3">
      <c r="A15" s="2" t="s">
        <v>4852</v>
      </c>
      <c r="B15" s="95">
        <v>4972659</v>
      </c>
      <c r="C15" s="95">
        <v>6320130</v>
      </c>
    </row>
  </sheetData>
  <mergeCells count="1">
    <mergeCell ref="A1:C1"/>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44C4-102F-4C66-8ED1-4F77F3709205}">
  <sheetPr codeName="Sheet611"/>
  <dimension ref="A1:D8"/>
  <sheetViews>
    <sheetView zoomScaleNormal="100" workbookViewId="0"/>
  </sheetViews>
  <sheetFormatPr defaultRowHeight="14.4"/>
  <cols>
    <col min="1" max="1" width="16.109375" bestFit="1" customWidth="1"/>
    <col min="2" max="2" width="10.5546875" bestFit="1" customWidth="1"/>
    <col min="3" max="3" width="7.5546875" bestFit="1" customWidth="1"/>
    <col min="4" max="4" width="6.44140625" bestFit="1" customWidth="1"/>
  </cols>
  <sheetData>
    <row r="1" spans="1:4">
      <c r="A1" s="1" t="s">
        <v>670</v>
      </c>
      <c r="B1" s="1" t="s">
        <v>4866</v>
      </c>
      <c r="C1" s="1" t="s">
        <v>1538</v>
      </c>
      <c r="D1" s="1" t="s">
        <v>4257</v>
      </c>
    </row>
    <row r="2" spans="1:4">
      <c r="A2" s="2" t="s">
        <v>4858</v>
      </c>
      <c r="B2" s="136">
        <v>0.02</v>
      </c>
      <c r="C2" s="136">
        <v>0</v>
      </c>
      <c r="D2" s="136">
        <v>0.02</v>
      </c>
    </row>
    <row r="3" spans="1:4">
      <c r="A3" s="2" t="s">
        <v>4859</v>
      </c>
      <c r="B3" s="136">
        <v>0.05</v>
      </c>
      <c r="C3" s="136">
        <v>0</v>
      </c>
      <c r="D3" s="136">
        <v>0.05</v>
      </c>
    </row>
    <row r="4" spans="1:4">
      <c r="A4" s="2" t="s">
        <v>4860</v>
      </c>
      <c r="B4" s="136">
        <v>0.01</v>
      </c>
      <c r="C4" s="136">
        <v>0</v>
      </c>
      <c r="D4" s="136">
        <v>0.01</v>
      </c>
    </row>
    <row r="5" spans="1:4">
      <c r="A5" s="2" t="s">
        <v>4861</v>
      </c>
      <c r="B5" s="136">
        <v>0.11</v>
      </c>
      <c r="C5" s="136">
        <v>0</v>
      </c>
      <c r="D5" s="136">
        <v>0.11</v>
      </c>
    </row>
    <row r="6" spans="1:4">
      <c r="A6" s="2" t="s">
        <v>4862</v>
      </c>
      <c r="B6" s="2" t="s">
        <v>4863</v>
      </c>
      <c r="C6" s="136">
        <v>0</v>
      </c>
      <c r="D6" s="2" t="s">
        <v>4863</v>
      </c>
    </row>
    <row r="7" spans="1:4">
      <c r="A7" s="2" t="s">
        <v>4864</v>
      </c>
      <c r="B7" s="136" t="s">
        <v>4867</v>
      </c>
      <c r="C7" s="136">
        <v>0</v>
      </c>
      <c r="D7" s="136" t="s">
        <v>4867</v>
      </c>
    </row>
    <row r="8" spans="1:4">
      <c r="A8" s="2" t="s">
        <v>4865</v>
      </c>
      <c r="B8" s="136" t="s">
        <v>4863</v>
      </c>
      <c r="C8" s="136">
        <v>0</v>
      </c>
      <c r="D8" s="136" t="s">
        <v>4863</v>
      </c>
    </row>
  </sheetData>
  <pageMargins left="0.7" right="0.7" top="0.75" bottom="0.75" header="0.3" footer="0.3"/>
  <pageSetup orientation="portrait" horizontalDpi="4294967293" verticalDpi="0"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967D-FA17-49EA-A796-9AF3AC881330}">
  <sheetPr codeName="Sheet612"/>
  <dimension ref="A1:C7"/>
  <sheetViews>
    <sheetView workbookViewId="0">
      <selection activeCell="B7" sqref="B7"/>
    </sheetView>
  </sheetViews>
  <sheetFormatPr defaultRowHeight="14.4"/>
  <cols>
    <col min="1" max="1" width="29.44140625" customWidth="1"/>
    <col min="2" max="2" width="12.44140625" bestFit="1" customWidth="1"/>
    <col min="3" max="3" width="5.5546875" bestFit="1" customWidth="1"/>
  </cols>
  <sheetData>
    <row r="1" spans="1:3">
      <c r="A1" s="369" t="s">
        <v>4870</v>
      </c>
      <c r="B1" s="369"/>
      <c r="C1" s="369"/>
    </row>
    <row r="2" spans="1:3">
      <c r="A2" s="1" t="s">
        <v>622</v>
      </c>
      <c r="B2" s="1" t="s">
        <v>2887</v>
      </c>
      <c r="C2" s="1" t="s">
        <v>1727</v>
      </c>
    </row>
    <row r="3" spans="1:3" ht="28.8">
      <c r="A3" s="107" t="s">
        <v>4868</v>
      </c>
      <c r="B3" s="45" t="s">
        <v>4872</v>
      </c>
      <c r="C3" s="47">
        <v>0.05</v>
      </c>
    </row>
    <row r="4" spans="1:3" ht="29.1" customHeight="1">
      <c r="A4" s="107" t="s">
        <v>4871</v>
      </c>
      <c r="B4" s="45" t="s">
        <v>3794</v>
      </c>
      <c r="C4" s="47">
        <v>2</v>
      </c>
    </row>
    <row r="5" spans="1:3">
      <c r="A5" s="2" t="s">
        <v>4869</v>
      </c>
      <c r="B5" s="45" t="s">
        <v>4873</v>
      </c>
      <c r="C5" s="47">
        <v>35</v>
      </c>
    </row>
    <row r="7" spans="1:3" ht="43.2">
      <c r="A7" s="8" t="s">
        <v>4881</v>
      </c>
      <c r="B7" s="47">
        <f>CONFIDENCE(C3,C4,C5)</f>
        <v>0.66258876025947311</v>
      </c>
    </row>
  </sheetData>
  <mergeCells count="1">
    <mergeCell ref="A1:C1"/>
  </mergeCells>
  <pageMargins left="0.7" right="0.7" top="0.75" bottom="0.75" header="0.3" footer="0.3"/>
  <pageSetup orientation="portrait" horizontalDpi="4294967293" verticalDpi="0"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EEA5-0A97-47D0-AB10-E828C5813BEF}">
  <sheetPr codeName="Sheet613"/>
  <dimension ref="A1:C7"/>
  <sheetViews>
    <sheetView workbookViewId="0">
      <selection activeCell="B7" sqref="B7"/>
    </sheetView>
  </sheetViews>
  <sheetFormatPr defaultRowHeight="14.4"/>
  <cols>
    <col min="1" max="1" width="29.44140625" customWidth="1"/>
    <col min="2" max="2" width="12.44140625" bestFit="1" customWidth="1"/>
    <col min="3" max="3" width="5.5546875" bestFit="1" customWidth="1"/>
  </cols>
  <sheetData>
    <row r="1" spans="1:3">
      <c r="A1" s="369" t="s">
        <v>4870</v>
      </c>
      <c r="B1" s="369"/>
      <c r="C1" s="369"/>
    </row>
    <row r="2" spans="1:3">
      <c r="A2" s="1" t="s">
        <v>622</v>
      </c>
      <c r="B2" s="1" t="s">
        <v>2887</v>
      </c>
      <c r="C2" s="1" t="s">
        <v>1727</v>
      </c>
    </row>
    <row r="3" spans="1:3" ht="28.8">
      <c r="A3" s="107" t="s">
        <v>4868</v>
      </c>
      <c r="B3" s="45" t="s">
        <v>4872</v>
      </c>
      <c r="C3" s="47">
        <v>0.01</v>
      </c>
    </row>
    <row r="4" spans="1:3" ht="29.1" customHeight="1">
      <c r="A4" s="107" t="s">
        <v>4871</v>
      </c>
      <c r="B4" s="45" t="s">
        <v>3794</v>
      </c>
      <c r="C4" s="47">
        <v>1.5</v>
      </c>
    </row>
    <row r="5" spans="1:3">
      <c r="A5" s="2" t="s">
        <v>4869</v>
      </c>
      <c r="B5" s="45" t="s">
        <v>4873</v>
      </c>
      <c r="C5" s="47">
        <v>50</v>
      </c>
    </row>
    <row r="7" spans="1:3" ht="43.2">
      <c r="A7" s="8" t="s">
        <v>4881</v>
      </c>
      <c r="B7" s="47">
        <f>CONFIDENCE(C3,C4,C5)</f>
        <v>0.54641591031553471</v>
      </c>
    </row>
  </sheetData>
  <mergeCells count="1">
    <mergeCell ref="A1:C1"/>
  </mergeCell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7C55-A738-4643-B0C9-9811557514B6}">
  <sheetPr codeName="Sheet614"/>
  <dimension ref="A1:G14"/>
  <sheetViews>
    <sheetView workbookViewId="0">
      <selection activeCell="B7" sqref="B7"/>
    </sheetView>
  </sheetViews>
  <sheetFormatPr defaultRowHeight="14.4"/>
  <cols>
    <col min="1" max="1" width="9.109375" customWidth="1"/>
    <col min="2" max="2" width="27.88671875" customWidth="1"/>
    <col min="4" max="4" width="17.109375" bestFit="1" customWidth="1"/>
    <col min="5" max="5" width="15.5546875" customWidth="1"/>
  </cols>
  <sheetData>
    <row r="1" spans="1:7">
      <c r="A1" s="400" t="s">
        <v>4878</v>
      </c>
      <c r="B1" s="368"/>
      <c r="D1" s="400" t="s">
        <v>4879</v>
      </c>
      <c r="E1" s="368"/>
    </row>
    <row r="2" spans="1:7">
      <c r="A2" s="1" t="s">
        <v>32</v>
      </c>
      <c r="B2" s="1" t="s">
        <v>4874</v>
      </c>
      <c r="D2" s="1" t="s">
        <v>2887</v>
      </c>
      <c r="E2" s="1" t="s">
        <v>1727</v>
      </c>
    </row>
    <row r="3" spans="1:7">
      <c r="A3" s="2" t="s">
        <v>307</v>
      </c>
      <c r="B3" s="2">
        <v>54</v>
      </c>
      <c r="D3" s="2" t="s">
        <v>3817</v>
      </c>
      <c r="E3" s="7">
        <f>AVERAGE(B3:B14)</f>
        <v>70.5</v>
      </c>
    </row>
    <row r="4" spans="1:7">
      <c r="A4" s="2" t="s">
        <v>308</v>
      </c>
      <c r="B4" s="2">
        <v>57</v>
      </c>
      <c r="D4" s="2" t="s">
        <v>3816</v>
      </c>
      <c r="E4" s="7">
        <f>_xlfn.STDEV.P(B3:B14)</f>
        <v>10.766460266339475</v>
      </c>
    </row>
    <row r="5" spans="1:7">
      <c r="A5" s="2" t="s">
        <v>309</v>
      </c>
      <c r="B5" s="2">
        <v>63</v>
      </c>
      <c r="D5" s="2" t="s">
        <v>4876</v>
      </c>
      <c r="E5" s="7">
        <v>12</v>
      </c>
    </row>
    <row r="6" spans="1:7">
      <c r="A6" s="2" t="s">
        <v>310</v>
      </c>
      <c r="B6" s="2">
        <v>70</v>
      </c>
      <c r="D6" s="2" t="s">
        <v>2131</v>
      </c>
      <c r="E6" s="7">
        <v>0.03</v>
      </c>
    </row>
    <row r="7" spans="1:7" ht="15.6">
      <c r="A7" s="2" t="s">
        <v>51</v>
      </c>
      <c r="B7" s="2">
        <v>77</v>
      </c>
      <c r="D7" s="2" t="s">
        <v>4875</v>
      </c>
      <c r="E7" s="7">
        <f>CONFIDENCE(E6,E4,E5)</f>
        <v>6.7446612196740334</v>
      </c>
      <c r="G7" s="316"/>
    </row>
    <row r="8" spans="1:7">
      <c r="A8" s="2" t="s">
        <v>311</v>
      </c>
      <c r="B8" s="2">
        <v>82</v>
      </c>
      <c r="D8" s="2" t="s">
        <v>4877</v>
      </c>
      <c r="E8" s="7" t="str">
        <f>CONCATENATE(ROUND(E3,1)," ± ",ROUND(E7,2))</f>
        <v>70.5 ± 6.74</v>
      </c>
    </row>
    <row r="9" spans="1:7">
      <c r="A9" s="2" t="s">
        <v>312</v>
      </c>
      <c r="B9" s="2">
        <v>84</v>
      </c>
    </row>
    <row r="10" spans="1:7">
      <c r="A10" s="2" t="s">
        <v>313</v>
      </c>
      <c r="B10" s="2">
        <v>84</v>
      </c>
    </row>
    <row r="11" spans="1:7">
      <c r="A11" s="2" t="s">
        <v>314</v>
      </c>
      <c r="B11" s="2">
        <v>81</v>
      </c>
    </row>
    <row r="12" spans="1:7">
      <c r="A12" s="2" t="s">
        <v>315</v>
      </c>
      <c r="B12" s="2">
        <v>73</v>
      </c>
    </row>
    <row r="13" spans="1:7">
      <c r="A13" s="2" t="s">
        <v>316</v>
      </c>
      <c r="B13" s="2">
        <v>64</v>
      </c>
    </row>
    <row r="14" spans="1:7">
      <c r="A14" s="2" t="s">
        <v>317</v>
      </c>
      <c r="B14" s="2">
        <v>57</v>
      </c>
    </row>
  </sheetData>
  <mergeCells count="2">
    <mergeCell ref="D1:E1"/>
    <mergeCell ref="A1:B1"/>
  </mergeCells>
  <pageMargins left="0.7" right="0.7" top="0.75" bottom="0.75" header="0.3" footer="0.3"/>
  <pageSetup orientation="portrait" horizontalDpi="4294967293" verticalDpi="0" r:id="rId1"/>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68F9-0F93-4BF9-9182-231480647173}">
  <sheetPr codeName="Sheet615"/>
  <dimension ref="B2:D6"/>
  <sheetViews>
    <sheetView workbookViewId="0">
      <selection activeCell="B7" sqref="B7"/>
    </sheetView>
  </sheetViews>
  <sheetFormatPr defaultRowHeight="14.4"/>
  <cols>
    <col min="2" max="2" width="10.88671875" bestFit="1" customWidth="1"/>
    <col min="3" max="3" width="15.5546875" bestFit="1" customWidth="1"/>
    <col min="4" max="4" width="15.44140625" bestFit="1" customWidth="1"/>
  </cols>
  <sheetData>
    <row r="2" spans="2:4">
      <c r="B2" s="1" t="s">
        <v>352</v>
      </c>
      <c r="C2" s="1" t="s">
        <v>4880</v>
      </c>
      <c r="D2" s="1" t="s">
        <v>4875</v>
      </c>
    </row>
    <row r="3" spans="2:4">
      <c r="B3" s="2" t="s">
        <v>348</v>
      </c>
      <c r="C3" s="2">
        <v>70.5</v>
      </c>
      <c r="D3" s="2">
        <v>6.7446599999999997</v>
      </c>
    </row>
    <row r="4" spans="2:4">
      <c r="B4" s="2" t="s">
        <v>351</v>
      </c>
      <c r="C4" s="2">
        <v>68.3</v>
      </c>
      <c r="D4" s="2">
        <v>3.21549</v>
      </c>
    </row>
    <row r="5" spans="2:4">
      <c r="B5" s="2" t="s">
        <v>347</v>
      </c>
      <c r="C5" s="2">
        <v>63.4</v>
      </c>
      <c r="D5" s="2">
        <v>2.3892699999999998</v>
      </c>
    </row>
    <row r="6" spans="2:4">
      <c r="B6" s="2" t="s">
        <v>4457</v>
      </c>
      <c r="C6" s="2">
        <v>58.9</v>
      </c>
      <c r="D6" s="2">
        <v>1.94285</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7B0-F15E-45DB-ADEA-62F07A9709EF}">
  <sheetPr codeName="Sheet616"/>
  <dimension ref="B1:D12"/>
  <sheetViews>
    <sheetView workbookViewId="0">
      <selection activeCell="B7" sqref="B7"/>
    </sheetView>
  </sheetViews>
  <sheetFormatPr defaultRowHeight="14.4"/>
  <cols>
    <col min="2" max="2" width="29.44140625" customWidth="1"/>
    <col min="3" max="3" width="15.44140625" bestFit="1" customWidth="1"/>
    <col min="4" max="4" width="5.5546875" bestFit="1" customWidth="1"/>
  </cols>
  <sheetData>
    <row r="1" spans="2:4" ht="15" thickBot="1"/>
    <row r="2" spans="2:4">
      <c r="B2" s="410" t="s">
        <v>4882</v>
      </c>
      <c r="C2" s="411"/>
      <c r="D2" s="412"/>
    </row>
    <row r="3" spans="2:4">
      <c r="B3" s="180" t="s">
        <v>622</v>
      </c>
      <c r="C3" s="1" t="s">
        <v>2887</v>
      </c>
      <c r="D3" s="181" t="s">
        <v>1727</v>
      </c>
    </row>
    <row r="4" spans="2:4" ht="28.8">
      <c r="B4" s="310" t="s">
        <v>4868</v>
      </c>
      <c r="C4" s="45" t="s">
        <v>4872</v>
      </c>
      <c r="D4" s="311">
        <v>0.01</v>
      </c>
    </row>
    <row r="5" spans="2:4" ht="29.1" customHeight="1">
      <c r="B5" s="310" t="s">
        <v>4871</v>
      </c>
      <c r="C5" s="45" t="s">
        <v>3794</v>
      </c>
      <c r="D5" s="311">
        <v>3.5</v>
      </c>
    </row>
    <row r="6" spans="2:4">
      <c r="B6" s="157" t="s">
        <v>4869</v>
      </c>
      <c r="C6" s="45" t="s">
        <v>4873</v>
      </c>
      <c r="D6" s="311">
        <v>100</v>
      </c>
    </row>
    <row r="7" spans="2:4">
      <c r="B7" s="155"/>
      <c r="D7" s="156"/>
    </row>
    <row r="8" spans="2:4" s="121" customFormat="1" ht="29.4" customHeight="1">
      <c r="B8" s="456" t="s">
        <v>4881</v>
      </c>
      <c r="C8" s="469"/>
      <c r="D8" s="312"/>
    </row>
    <row r="9" spans="2:4">
      <c r="B9" s="180" t="s">
        <v>1385</v>
      </c>
      <c r="C9" s="1" t="s">
        <v>4875</v>
      </c>
      <c r="D9" s="156"/>
    </row>
    <row r="10" spans="2:4">
      <c r="B10" s="157" t="s">
        <v>4883</v>
      </c>
      <c r="C10" s="7">
        <f>CONFIDENCE(D4,D5,D6)</f>
        <v>0.90154025624211487</v>
      </c>
      <c r="D10" s="156"/>
    </row>
    <row r="11" spans="2:4" ht="15.6">
      <c r="B11" s="313" t="s">
        <v>4884</v>
      </c>
      <c r="C11" s="7">
        <f>_xlfn.CONFIDENCE.NORM(D4,D5,D6)</f>
        <v>0.90154025624211487</v>
      </c>
      <c r="D11" s="156"/>
    </row>
    <row r="12" spans="2:4" ht="16.2" thickBot="1">
      <c r="B12" s="314" t="s">
        <v>4885</v>
      </c>
      <c r="C12" s="177">
        <f>_xlfn.CONFIDENCE.T(D4,D5,D6)</f>
        <v>0.9192419100482897</v>
      </c>
      <c r="D12" s="170"/>
    </row>
  </sheetData>
  <mergeCells count="2">
    <mergeCell ref="B2:D2"/>
    <mergeCell ref="B8:C8"/>
  </mergeCell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55B0-2C45-4BAD-94AB-34CE053FAAAA}">
  <sheetPr codeName="Sheet617"/>
  <dimension ref="B1:J18"/>
  <sheetViews>
    <sheetView zoomScale="90" zoomScaleNormal="90" workbookViewId="0">
      <selection activeCell="B7" sqref="B7"/>
    </sheetView>
  </sheetViews>
  <sheetFormatPr defaultRowHeight="14.4"/>
  <cols>
    <col min="2" max="2" width="7.44140625" bestFit="1" customWidth="1"/>
    <col min="3" max="3" width="20.44140625" bestFit="1" customWidth="1"/>
    <col min="5" max="5" width="21.44140625" bestFit="1" customWidth="1"/>
    <col min="6" max="6" width="12.44140625" bestFit="1" customWidth="1"/>
    <col min="8" max="8" width="17.109375" bestFit="1" customWidth="1"/>
    <col min="9" max="9" width="11.88671875" bestFit="1" customWidth="1"/>
    <col min="10" max="10" width="57.6640625" bestFit="1" customWidth="1"/>
  </cols>
  <sheetData>
    <row r="1" spans="2:10">
      <c r="B1" s="1" t="s">
        <v>0</v>
      </c>
      <c r="C1" s="1" t="s">
        <v>4886</v>
      </c>
      <c r="E1" s="315" t="s">
        <v>4886</v>
      </c>
      <c r="F1" s="315"/>
      <c r="H1" s="369" t="s">
        <v>4877</v>
      </c>
      <c r="I1" s="369"/>
      <c r="J1" s="369"/>
    </row>
    <row r="2" spans="2:10">
      <c r="B2" s="2">
        <v>1</v>
      </c>
      <c r="C2" s="2">
        <v>85.3</v>
      </c>
      <c r="H2" s="1" t="s">
        <v>2887</v>
      </c>
      <c r="I2" s="1" t="s">
        <v>1727</v>
      </c>
      <c r="J2" s="1" t="s">
        <v>4900</v>
      </c>
    </row>
    <row r="3" spans="2:10">
      <c r="B3" s="2">
        <v>2</v>
      </c>
      <c r="C3" s="2">
        <v>86.1</v>
      </c>
      <c r="E3" t="s">
        <v>3817</v>
      </c>
      <c r="F3">
        <v>85.885714285714272</v>
      </c>
      <c r="H3" s="2" t="s">
        <v>3817</v>
      </c>
      <c r="I3" s="7">
        <f>AVERAGE(C2:C8)</f>
        <v>85.885714285714272</v>
      </c>
      <c r="J3" s="65" t="s">
        <v>4901</v>
      </c>
    </row>
    <row r="4" spans="2:10">
      <c r="B4" s="2">
        <v>3</v>
      </c>
      <c r="C4" s="2">
        <v>84.9</v>
      </c>
      <c r="E4" t="s">
        <v>4890</v>
      </c>
      <c r="F4">
        <v>0.68327940719687963</v>
      </c>
      <c r="H4" s="2" t="s">
        <v>4872</v>
      </c>
      <c r="I4" s="7">
        <v>0.05</v>
      </c>
      <c r="J4" s="65" t="s">
        <v>4902</v>
      </c>
    </row>
    <row r="5" spans="2:10">
      <c r="B5" s="2">
        <v>4</v>
      </c>
      <c r="C5" s="2">
        <v>83.5</v>
      </c>
      <c r="E5" t="s">
        <v>4891</v>
      </c>
      <c r="F5">
        <v>85.3</v>
      </c>
      <c r="H5" s="2" t="s">
        <v>3794</v>
      </c>
      <c r="I5" s="7">
        <f>_xlfn.STDEV.S(C2:C8)</f>
        <v>1.8077873874145807</v>
      </c>
      <c r="J5" s="65" t="s">
        <v>4903</v>
      </c>
    </row>
    <row r="6" spans="2:10">
      <c r="B6" s="2">
        <v>5</v>
      </c>
      <c r="C6" s="2">
        <v>87.8</v>
      </c>
      <c r="E6" t="s">
        <v>4892</v>
      </c>
      <c r="F6">
        <v>84.9</v>
      </c>
      <c r="H6" s="2" t="s">
        <v>4873</v>
      </c>
      <c r="I6" s="7">
        <v>7</v>
      </c>
      <c r="J6" s="65" t="s">
        <v>4904</v>
      </c>
    </row>
    <row r="7" spans="2:10">
      <c r="B7" s="2">
        <v>6</v>
      </c>
      <c r="C7" s="2">
        <v>88.7</v>
      </c>
      <c r="E7" t="s">
        <v>3816</v>
      </c>
      <c r="F7">
        <v>1.8077873874145807</v>
      </c>
      <c r="H7" s="2" t="s">
        <v>4875</v>
      </c>
      <c r="I7" s="7">
        <f>_xlfn.CONFIDENCE.T(I4,I5,I6)</f>
        <v>1.6719244791133543</v>
      </c>
      <c r="J7" s="65" t="s">
        <v>4905</v>
      </c>
    </row>
    <row r="8" spans="2:10">
      <c r="B8" s="2">
        <v>7</v>
      </c>
      <c r="C8" s="2">
        <v>84.9</v>
      </c>
      <c r="E8" t="s">
        <v>4893</v>
      </c>
      <c r="F8">
        <v>3.2680952380952348</v>
      </c>
      <c r="H8" s="2" t="s">
        <v>4877</v>
      </c>
      <c r="I8" s="7" t="str">
        <f>CONCATENATE(ROUND(I3,2)," ± ",ROUND(I7,2))</f>
        <v>85.89 ± 1.67</v>
      </c>
      <c r="J8" s="65" t="s">
        <v>4906</v>
      </c>
    </row>
    <row r="9" spans="2:10">
      <c r="E9" t="s">
        <v>4894</v>
      </c>
      <c r="F9">
        <v>-0.569208324390579</v>
      </c>
    </row>
    <row r="10" spans="2:10">
      <c r="E10" t="s">
        <v>4895</v>
      </c>
      <c r="F10">
        <v>0.53788856765406978</v>
      </c>
    </row>
    <row r="11" spans="2:10">
      <c r="E11" t="s">
        <v>4896</v>
      </c>
      <c r="F11">
        <v>5.2000000000000028</v>
      </c>
    </row>
    <row r="12" spans="2:10">
      <c r="E12" t="s">
        <v>4897</v>
      </c>
      <c r="F12">
        <v>83.5</v>
      </c>
    </row>
    <row r="13" spans="2:10">
      <c r="E13" t="s">
        <v>4898</v>
      </c>
      <c r="F13">
        <v>88.7</v>
      </c>
    </row>
    <row r="14" spans="2:10">
      <c r="E14" t="s">
        <v>4899</v>
      </c>
      <c r="F14">
        <v>601.19999999999993</v>
      </c>
    </row>
    <row r="15" spans="2:10">
      <c r="E15" t="s">
        <v>469</v>
      </c>
      <c r="F15">
        <v>7</v>
      </c>
    </row>
    <row r="16" spans="2:10">
      <c r="E16" t="s">
        <v>4887</v>
      </c>
      <c r="F16">
        <v>88.7</v>
      </c>
    </row>
    <row r="17" spans="5:6">
      <c r="E17" t="s">
        <v>4888</v>
      </c>
      <c r="F17">
        <v>83.5</v>
      </c>
    </row>
    <row r="18" spans="5:6" ht="15" thickBot="1">
      <c r="E18" s="169" t="s">
        <v>4889</v>
      </c>
      <c r="F18" s="169">
        <v>1.6719244791133536</v>
      </c>
    </row>
  </sheetData>
  <mergeCells count="1">
    <mergeCell ref="H1:J1"/>
  </mergeCells>
  <pageMargins left="0.7" right="0.7" top="0.75" bottom="0.75" header="0.3" footer="0.3"/>
  <pageSetup orientation="portrait" horizontalDpi="4294967293" verticalDpi="0" r:id="rId1"/>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24E1-C37D-4881-97E1-BCA2F8344F52}">
  <sheetPr codeName="Sheet618"/>
  <dimension ref="A1:C14"/>
  <sheetViews>
    <sheetView workbookViewId="0">
      <selection activeCell="A2" sqref="A2"/>
    </sheetView>
  </sheetViews>
  <sheetFormatPr defaultRowHeight="14.4"/>
  <cols>
    <col min="1" max="1" width="29.44140625" customWidth="1"/>
    <col min="2" max="2" width="12.44140625" bestFit="1" customWidth="1"/>
    <col min="3" max="3" width="5.5546875" bestFit="1" customWidth="1"/>
  </cols>
  <sheetData>
    <row r="1" spans="1:3">
      <c r="A1" s="369" t="s">
        <v>4882</v>
      </c>
      <c r="B1" s="369"/>
      <c r="C1" s="369"/>
    </row>
    <row r="2" spans="1:3">
      <c r="A2" s="1" t="s">
        <v>622</v>
      </c>
      <c r="B2" s="1" t="s">
        <v>2887</v>
      </c>
      <c r="C2" s="1" t="s">
        <v>1727</v>
      </c>
    </row>
    <row r="3" spans="1:3">
      <c r="A3" s="2" t="s">
        <v>3817</v>
      </c>
      <c r="B3" s="2" t="s">
        <v>4770</v>
      </c>
      <c r="C3" s="7">
        <v>30</v>
      </c>
    </row>
    <row r="4" spans="1:3" ht="28.8">
      <c r="A4" s="107" t="s">
        <v>4868</v>
      </c>
      <c r="B4" s="45" t="s">
        <v>4872</v>
      </c>
      <c r="C4" s="47">
        <v>0.05</v>
      </c>
    </row>
    <row r="5" spans="1:3" ht="29.1" customHeight="1">
      <c r="A5" s="46" t="s">
        <v>4871</v>
      </c>
      <c r="B5" s="45" t="s">
        <v>3794</v>
      </c>
      <c r="C5" s="47">
        <v>1.5</v>
      </c>
    </row>
    <row r="6" spans="1:3">
      <c r="A6" s="2" t="s">
        <v>4869</v>
      </c>
      <c r="B6" s="45" t="s">
        <v>4873</v>
      </c>
      <c r="C6" s="47">
        <v>40</v>
      </c>
    </row>
    <row r="7" spans="1:3">
      <c r="A7" s="14"/>
      <c r="B7" s="317"/>
      <c r="C7" s="318"/>
    </row>
    <row r="8" spans="1:3">
      <c r="A8" s="470" t="s">
        <v>4907</v>
      </c>
      <c r="B8" s="471"/>
    </row>
    <row r="9" spans="1:3">
      <c r="A9" s="8" t="s">
        <v>4908</v>
      </c>
      <c r="B9" s="47">
        <f>1.96*(C5/SQRT(C6))</f>
        <v>0.46485481604475176</v>
      </c>
    </row>
    <row r="10" spans="1:3">
      <c r="A10" s="1" t="s">
        <v>4877</v>
      </c>
      <c r="B10" s="7" t="str">
        <f>CONCATENATE(ROUND(C3,2)," ± ",ROUND(B9,2))</f>
        <v>30 ± 0.46</v>
      </c>
    </row>
    <row r="12" spans="1:3">
      <c r="A12" s="470" t="s">
        <v>4883</v>
      </c>
      <c r="B12" s="471"/>
    </row>
    <row r="13" spans="1:3">
      <c r="A13" s="8" t="s">
        <v>4908</v>
      </c>
      <c r="B13" s="47">
        <f>CONFIDENCE(C4,C5,C6)</f>
        <v>0.46484627422842106</v>
      </c>
    </row>
    <row r="14" spans="1:3">
      <c r="A14" s="1" t="s">
        <v>4877</v>
      </c>
      <c r="B14" s="7" t="str">
        <f>CONCATENATE(ROUND(C3,2)," ± ",ROUND(B13,2))</f>
        <v>30 ± 0.46</v>
      </c>
    </row>
  </sheetData>
  <mergeCells count="3">
    <mergeCell ref="A1:C1"/>
    <mergeCell ref="A8:B8"/>
    <mergeCell ref="A12:B12"/>
  </mergeCell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5806-0B8E-46EE-A6E5-5BD760C2EC67}">
  <sheetPr codeName="Sheet619"/>
  <dimension ref="A1:C10"/>
  <sheetViews>
    <sheetView workbookViewId="0">
      <selection activeCell="C10" sqref="C10"/>
    </sheetView>
  </sheetViews>
  <sheetFormatPr defaultRowHeight="14.4"/>
  <cols>
    <col min="1" max="1" width="6.5546875" bestFit="1" customWidth="1"/>
    <col min="2" max="2" width="10.88671875" bestFit="1" customWidth="1"/>
    <col min="3" max="3" width="22.6640625" bestFit="1" customWidth="1"/>
  </cols>
  <sheetData>
    <row r="1" spans="1:3">
      <c r="A1" s="1" t="s">
        <v>32</v>
      </c>
      <c r="B1" s="1" t="s">
        <v>3143</v>
      </c>
      <c r="C1" s="1" t="s">
        <v>4909</v>
      </c>
    </row>
    <row r="2" spans="1:3">
      <c r="A2" s="2" t="s">
        <v>307</v>
      </c>
      <c r="B2" s="53">
        <v>20000</v>
      </c>
      <c r="C2" s="53">
        <v>5000</v>
      </c>
    </row>
    <row r="3" spans="1:3">
      <c r="A3" s="2" t="s">
        <v>309</v>
      </c>
      <c r="B3" s="53">
        <v>25000</v>
      </c>
      <c r="C3" s="53">
        <v>5400</v>
      </c>
    </row>
    <row r="4" spans="1:3">
      <c r="A4" s="2" t="s">
        <v>311</v>
      </c>
      <c r="B4" s="53">
        <v>28000</v>
      </c>
      <c r="C4" s="53">
        <v>5700</v>
      </c>
    </row>
    <row r="5" spans="1:3">
      <c r="A5" s="2" t="s">
        <v>312</v>
      </c>
      <c r="B5" s="53">
        <v>30000</v>
      </c>
      <c r="C5" s="53">
        <v>5900</v>
      </c>
    </row>
    <row r="6" spans="1:3">
      <c r="A6" s="2" t="s">
        <v>314</v>
      </c>
      <c r="B6" s="53">
        <v>33000</v>
      </c>
      <c r="C6" s="53">
        <v>6200</v>
      </c>
    </row>
    <row r="7" spans="1:3">
      <c r="A7" s="2" t="s">
        <v>315</v>
      </c>
      <c r="B7" s="53">
        <v>35000</v>
      </c>
      <c r="C7" s="53">
        <v>6400</v>
      </c>
    </row>
    <row r="9" spans="1:3">
      <c r="A9" s="1" t="s">
        <v>32</v>
      </c>
      <c r="B9" s="1" t="s">
        <v>3143</v>
      </c>
      <c r="C9" s="1" t="s">
        <v>4912</v>
      </c>
    </row>
    <row r="10" spans="1:3">
      <c r="A10" s="2" t="s">
        <v>310</v>
      </c>
      <c r="B10" s="83">
        <v>26500</v>
      </c>
      <c r="C10" s="67">
        <f>FORECAST(B10,C2:C7,B2:B7)</f>
        <v>5578.0379041248607</v>
      </c>
    </row>
  </sheetData>
  <pageMargins left="0.7" right="0.7" top="0.75" bottom="0.75" header="0.3" footer="0.3"/>
  <pageSetup orientation="portrait" horizontalDpi="4294967293" verticalDpi="0" r:id="rId1"/>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6640-1AB1-4AD5-B8C4-07944853B303}">
  <sheetPr codeName="Sheet620"/>
  <dimension ref="A1:E11"/>
  <sheetViews>
    <sheetView workbookViewId="0">
      <selection activeCell="C10" sqref="C10"/>
    </sheetView>
  </sheetViews>
  <sheetFormatPr defaultRowHeight="14.4"/>
  <cols>
    <col min="1" max="1" width="6" customWidth="1"/>
    <col min="2" max="2" width="19.88671875" bestFit="1" customWidth="1"/>
    <col min="4" max="4" width="6" customWidth="1"/>
    <col min="5" max="5" width="31.109375" bestFit="1" customWidth="1"/>
  </cols>
  <sheetData>
    <row r="1" spans="1:5">
      <c r="A1" s="1" t="s">
        <v>108</v>
      </c>
      <c r="B1" s="1" t="s">
        <v>4910</v>
      </c>
      <c r="D1" s="1" t="s">
        <v>108</v>
      </c>
      <c r="E1" s="1" t="s">
        <v>4911</v>
      </c>
    </row>
    <row r="2" spans="1:5">
      <c r="A2" s="2">
        <v>5</v>
      </c>
      <c r="B2" s="2">
        <v>100</v>
      </c>
      <c r="D2" s="2">
        <v>38</v>
      </c>
      <c r="E2" s="7">
        <f>FORECAST(D2,B2:B11,A2:A11)</f>
        <v>760</v>
      </c>
    </row>
    <row r="3" spans="1:5">
      <c r="A3" s="2">
        <v>10</v>
      </c>
      <c r="B3" s="2">
        <v>200</v>
      </c>
    </row>
    <row r="4" spans="1:5">
      <c r="A4" s="2">
        <v>15</v>
      </c>
      <c r="B4" s="2">
        <v>300</v>
      </c>
      <c r="E4" s="137"/>
    </row>
    <row r="5" spans="1:5">
      <c r="A5" s="2">
        <v>20</v>
      </c>
      <c r="B5" s="2">
        <v>400</v>
      </c>
    </row>
    <row r="6" spans="1:5">
      <c r="A6" s="2">
        <v>25</v>
      </c>
      <c r="B6" s="2">
        <v>500</v>
      </c>
    </row>
    <row r="7" spans="1:5">
      <c r="A7" s="2">
        <v>30</v>
      </c>
      <c r="B7" s="2">
        <v>600</v>
      </c>
    </row>
    <row r="8" spans="1:5">
      <c r="A8" s="2">
        <v>35</v>
      </c>
      <c r="B8" s="2">
        <v>700</v>
      </c>
    </row>
    <row r="9" spans="1:5">
      <c r="A9" s="2">
        <v>40</v>
      </c>
      <c r="B9" s="2">
        <v>800</v>
      </c>
    </row>
    <row r="10" spans="1:5">
      <c r="A10" s="2">
        <v>45</v>
      </c>
      <c r="B10" s="2">
        <v>900</v>
      </c>
    </row>
    <row r="11" spans="1:5">
      <c r="A11" s="2">
        <v>50</v>
      </c>
      <c r="B11" s="2">
        <v>1000</v>
      </c>
    </row>
  </sheetData>
  <pageMargins left="0.7" right="0.7" top="0.75" bottom="0.75" header="0.3" footer="0.3"/>
  <pageSetup orientation="portrait" horizontalDpi="4294967293" verticalDpi="0" r:id="rId1"/>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ECB2-13A0-4299-824E-BB55C0694387}">
  <sheetPr codeName="Sheet621"/>
  <dimension ref="B2:C21"/>
  <sheetViews>
    <sheetView workbookViewId="0">
      <selection activeCell="C10" sqref="C10"/>
    </sheetView>
  </sheetViews>
  <sheetFormatPr defaultRowHeight="14.4"/>
  <cols>
    <col min="2" max="2" width="19.88671875" bestFit="1" customWidth="1"/>
    <col min="3" max="3" width="30.44140625" bestFit="1" customWidth="1"/>
  </cols>
  <sheetData>
    <row r="2" spans="2:3">
      <c r="B2" s="1" t="s">
        <v>4924</v>
      </c>
      <c r="C2" s="1" t="s">
        <v>4914</v>
      </c>
    </row>
    <row r="3" spans="2:3">
      <c r="B3" s="2">
        <v>4</v>
      </c>
      <c r="C3" s="2">
        <v>41</v>
      </c>
    </row>
    <row r="4" spans="2:3">
      <c r="B4" s="2">
        <v>5</v>
      </c>
      <c r="C4" s="2">
        <v>45</v>
      </c>
    </row>
    <row r="5" spans="2:3">
      <c r="B5" s="2">
        <v>6</v>
      </c>
      <c r="C5" s="2">
        <v>48</v>
      </c>
    </row>
    <row r="6" spans="2:3">
      <c r="B6" s="2">
        <v>8</v>
      </c>
      <c r="C6" s="2">
        <v>55</v>
      </c>
    </row>
    <row r="7" spans="2:3">
      <c r="B7" s="2">
        <v>10</v>
      </c>
      <c r="C7" s="2">
        <v>62</v>
      </c>
    </row>
    <row r="8" spans="2:3">
      <c r="B8" s="2">
        <v>12</v>
      </c>
      <c r="C8" s="2">
        <v>69</v>
      </c>
    </row>
    <row r="9" spans="2:3">
      <c r="B9" s="2">
        <v>14</v>
      </c>
      <c r="C9" s="2">
        <v>76</v>
      </c>
    </row>
    <row r="10" spans="2:3">
      <c r="B10" s="2">
        <v>15</v>
      </c>
      <c r="C10" s="2">
        <v>79</v>
      </c>
    </row>
    <row r="11" spans="2:3">
      <c r="B11" s="2">
        <v>17</v>
      </c>
      <c r="C11" s="2">
        <v>86</v>
      </c>
    </row>
    <row r="12" spans="2:3">
      <c r="B12" s="2">
        <v>18</v>
      </c>
      <c r="C12" s="2">
        <v>89</v>
      </c>
    </row>
    <row r="14" spans="2:3">
      <c r="B14" s="1" t="s">
        <v>4924</v>
      </c>
      <c r="C14" s="2">
        <v>16</v>
      </c>
    </row>
    <row r="16" spans="2:3">
      <c r="B16" s="1" t="s">
        <v>4920</v>
      </c>
      <c r="C16" s="1" t="s">
        <v>4921</v>
      </c>
    </row>
    <row r="17" spans="2:3">
      <c r="B17" s="2" t="s">
        <v>4915</v>
      </c>
      <c r="C17" s="7">
        <f>FORECAST(C14,C3:C12,B3:B12)</f>
        <v>82.515374621048068</v>
      </c>
    </row>
    <row r="18" spans="2:3">
      <c r="B18" s="2" t="s">
        <v>4916</v>
      </c>
      <c r="C18" s="7">
        <f>_xlfn.FORECAST.LINEAR(C14,C3:C12,B3:B12)</f>
        <v>82.515374621048068</v>
      </c>
    </row>
    <row r="19" spans="2:3">
      <c r="B19" s="2" t="s">
        <v>4917</v>
      </c>
      <c r="C19" s="7">
        <f>TREND(C3:C12,B3:B12,C14)</f>
        <v>82.515374621048068</v>
      </c>
    </row>
    <row r="20" spans="2:3">
      <c r="B20" s="2" t="s">
        <v>4925</v>
      </c>
      <c r="C20" s="7">
        <f>SLOPE(C3:C12,B3:B12)*C14+INTERCEPT(C3:C12,B3:B12)</f>
        <v>82.515374621048068</v>
      </c>
    </row>
    <row r="21" spans="2:3">
      <c r="C21" s="137"/>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5DE7-3D4C-4A0E-A1C4-8986DD6657ED}">
  <sheetPr codeName="Sheet623"/>
  <dimension ref="B2:C11"/>
  <sheetViews>
    <sheetView workbookViewId="0">
      <selection activeCell="C10" sqref="C10"/>
    </sheetView>
  </sheetViews>
  <sheetFormatPr defaultRowHeight="14.4"/>
  <cols>
    <col min="2" max="2" width="18.5546875" bestFit="1" customWidth="1"/>
    <col min="3" max="3" width="19.5546875" bestFit="1" customWidth="1"/>
  </cols>
  <sheetData>
    <row r="2" spans="2:3">
      <c r="B2" s="1" t="s">
        <v>4918</v>
      </c>
      <c r="C2" s="1" t="s">
        <v>319</v>
      </c>
    </row>
    <row r="3" spans="2:3">
      <c r="B3" s="2">
        <v>10</v>
      </c>
      <c r="C3" s="53">
        <f>4*B3*B3</f>
        <v>400</v>
      </c>
    </row>
    <row r="4" spans="2:3">
      <c r="B4" s="2">
        <v>23</v>
      </c>
      <c r="C4" s="53">
        <f t="shared" ref="C4:C8" si="0">4*B4*B4</f>
        <v>2116</v>
      </c>
    </row>
    <row r="5" spans="2:3">
      <c r="B5" s="2">
        <v>31</v>
      </c>
      <c r="C5" s="53">
        <f t="shared" si="0"/>
        <v>3844</v>
      </c>
    </row>
    <row r="6" spans="2:3">
      <c r="B6" s="2">
        <v>38</v>
      </c>
      <c r="C6" s="53">
        <f t="shared" si="0"/>
        <v>5776</v>
      </c>
    </row>
    <row r="7" spans="2:3">
      <c r="B7" s="2">
        <v>42</v>
      </c>
      <c r="C7" s="53">
        <f t="shared" si="0"/>
        <v>7056</v>
      </c>
    </row>
    <row r="8" spans="2:3">
      <c r="B8" s="2">
        <v>49</v>
      </c>
      <c r="C8" s="53">
        <f t="shared" si="0"/>
        <v>9604</v>
      </c>
    </row>
    <row r="10" spans="2:3">
      <c r="B10" s="1" t="s">
        <v>4918</v>
      </c>
      <c r="C10" s="1" t="s">
        <v>4919</v>
      </c>
    </row>
    <row r="11" spans="2:3">
      <c r="B11" s="2">
        <v>40</v>
      </c>
      <c r="C11" s="67">
        <f ca="1">FORECAST(B11,OFFSET(C3:C8,MATCH(B11,B3:B8,1)-1,0,2),OFFSET(B3:B8,MATCH(B11,B3:B8,1)-1,0,2))</f>
        <v>6416</v>
      </c>
    </row>
  </sheetData>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9AD1-AA15-4ACF-8880-936D9955219C}">
  <sheetPr codeName="Sheet622"/>
  <dimension ref="B2:F15"/>
  <sheetViews>
    <sheetView workbookViewId="0">
      <selection activeCell="C10" sqref="C10"/>
    </sheetView>
  </sheetViews>
  <sheetFormatPr defaultRowHeight="14.4"/>
  <cols>
    <col min="5" max="5" width="8.6640625" customWidth="1"/>
    <col min="6" max="6" width="13.109375" customWidth="1"/>
  </cols>
  <sheetData>
    <row r="2" spans="2:6">
      <c r="B2" s="1" t="s">
        <v>3216</v>
      </c>
      <c r="C2" s="1" t="s">
        <v>657</v>
      </c>
      <c r="D2" s="14"/>
      <c r="E2" s="1" t="s">
        <v>3216</v>
      </c>
      <c r="F2" s="1" t="s">
        <v>4913</v>
      </c>
    </row>
    <row r="3" spans="2:6">
      <c r="B3" s="2">
        <v>1</v>
      </c>
      <c r="C3" s="2">
        <v>6</v>
      </c>
      <c r="D3" s="14"/>
      <c r="E3" s="2">
        <v>18</v>
      </c>
      <c r="F3" s="7">
        <f>C11+(E3-B11)*(C12-C11)/(B12-B11)</f>
        <v>76.5</v>
      </c>
    </row>
    <row r="4" spans="2:6">
      <c r="B4" s="2">
        <v>3</v>
      </c>
      <c r="C4" s="2">
        <v>9</v>
      </c>
      <c r="D4" s="14"/>
      <c r="F4" s="319"/>
    </row>
    <row r="5" spans="2:6">
      <c r="B5" s="2">
        <v>5</v>
      </c>
      <c r="C5" s="2">
        <v>13</v>
      </c>
      <c r="D5" s="14"/>
    </row>
    <row r="6" spans="2:6">
      <c r="B6" s="2">
        <v>7</v>
      </c>
      <c r="C6" s="2">
        <v>18</v>
      </c>
      <c r="D6" s="14"/>
    </row>
    <row r="7" spans="2:6">
      <c r="B7" s="2">
        <v>9</v>
      </c>
      <c r="C7" s="2">
        <v>24</v>
      </c>
      <c r="D7" s="14"/>
      <c r="F7" s="319"/>
    </row>
    <row r="8" spans="2:6" ht="15" thickBot="1">
      <c r="B8" s="2">
        <v>11</v>
      </c>
      <c r="C8" s="2">
        <v>31</v>
      </c>
      <c r="D8" s="14"/>
    </row>
    <row r="9" spans="2:6" ht="15" thickBot="1">
      <c r="B9" s="2">
        <v>13</v>
      </c>
      <c r="C9" s="2">
        <v>40</v>
      </c>
      <c r="D9" s="14"/>
      <c r="F9" s="320"/>
    </row>
    <row r="10" spans="2:6">
      <c r="B10" s="2">
        <v>15</v>
      </c>
      <c r="C10" s="2">
        <v>52</v>
      </c>
      <c r="D10" s="14"/>
    </row>
    <row r="11" spans="2:6">
      <c r="B11" s="2">
        <v>17</v>
      </c>
      <c r="C11" s="2">
        <v>68</v>
      </c>
      <c r="D11" s="14"/>
    </row>
    <row r="12" spans="2:6">
      <c r="B12" s="2">
        <v>19</v>
      </c>
      <c r="C12" s="2">
        <v>85</v>
      </c>
      <c r="D12" s="14"/>
    </row>
    <row r="13" spans="2:6">
      <c r="B13" s="2">
        <v>21</v>
      </c>
      <c r="C13" s="2">
        <v>104</v>
      </c>
    </row>
    <row r="14" spans="2:6">
      <c r="B14" s="2">
        <v>23</v>
      </c>
      <c r="C14" s="2">
        <v>125</v>
      </c>
    </row>
    <row r="15" spans="2:6">
      <c r="B15" s="2">
        <v>25</v>
      </c>
      <c r="C15" s="2">
        <v>148</v>
      </c>
    </row>
  </sheetData>
  <pageMargins left="0.7" right="0.7" top="0.75" bottom="0.75" header="0.3" footer="0.3"/>
  <pageSetup orientation="portrait" horizontalDpi="4294967293" verticalDpi="0" r:id="rId1"/>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CD0-668C-4D70-B36D-114DA8C30DDD}">
  <sheetPr codeName="Sheet624"/>
  <dimension ref="A1:P16"/>
  <sheetViews>
    <sheetView workbookViewId="0"/>
  </sheetViews>
  <sheetFormatPr defaultRowHeight="14.4"/>
  <cols>
    <col min="1" max="1" width="8.6640625" customWidth="1"/>
    <col min="2" max="2" width="12.5546875" bestFit="1" customWidth="1"/>
    <col min="5" max="5" width="23.88671875" bestFit="1" customWidth="1"/>
    <col min="16" max="16" width="10.6640625" bestFit="1" customWidth="1"/>
  </cols>
  <sheetData>
    <row r="1" spans="1:16">
      <c r="A1" s="1" t="s">
        <v>33</v>
      </c>
      <c r="B1" s="1" t="s">
        <v>4922</v>
      </c>
      <c r="D1" s="1" t="s">
        <v>33</v>
      </c>
      <c r="E1" s="1" t="s">
        <v>4923</v>
      </c>
    </row>
    <row r="2" spans="1:16">
      <c r="A2" s="2">
        <v>2005</v>
      </c>
      <c r="B2" s="95">
        <v>296842670</v>
      </c>
      <c r="D2" s="2">
        <v>2017</v>
      </c>
      <c r="E2" s="7">
        <v>329675117.5</v>
      </c>
    </row>
    <row r="3" spans="1:16">
      <c r="A3" s="2">
        <v>2006</v>
      </c>
      <c r="B3" s="95">
        <v>299753098</v>
      </c>
    </row>
    <row r="4" spans="1:16">
      <c r="A4" s="2">
        <v>2008</v>
      </c>
      <c r="B4" s="95">
        <v>305694910</v>
      </c>
    </row>
    <row r="5" spans="1:16">
      <c r="A5" s="2">
        <v>2009</v>
      </c>
      <c r="B5" s="95">
        <v>308512035</v>
      </c>
      <c r="O5" s="2">
        <v>2007</v>
      </c>
      <c r="P5" s="95">
        <v>302743399</v>
      </c>
    </row>
    <row r="6" spans="1:16">
      <c r="A6" s="2">
        <v>2010</v>
      </c>
      <c r="B6" s="95">
        <v>311182845</v>
      </c>
      <c r="O6" s="2">
        <v>2011</v>
      </c>
      <c r="P6" s="95">
        <v>313876608</v>
      </c>
    </row>
    <row r="7" spans="1:16">
      <c r="A7" s="2">
        <v>2012</v>
      </c>
      <c r="B7" s="95">
        <v>316651321</v>
      </c>
      <c r="O7" s="2">
        <v>2017</v>
      </c>
      <c r="P7" s="95">
        <v>329791231</v>
      </c>
    </row>
    <row r="8" spans="1:16">
      <c r="A8" s="2">
        <v>2013</v>
      </c>
      <c r="B8" s="95">
        <v>319375166</v>
      </c>
    </row>
    <row r="9" spans="1:16">
      <c r="A9" s="2">
        <v>2014</v>
      </c>
      <c r="B9" s="95">
        <v>322033964</v>
      </c>
    </row>
    <row r="10" spans="1:16">
      <c r="A10" s="2">
        <v>2015</v>
      </c>
      <c r="B10" s="95">
        <v>324607776</v>
      </c>
    </row>
    <row r="11" spans="1:16">
      <c r="A11" s="2">
        <v>2016</v>
      </c>
      <c r="B11" s="95">
        <v>327210198</v>
      </c>
    </row>
    <row r="12" spans="1:16">
      <c r="A12" s="2">
        <v>2018</v>
      </c>
      <c r="B12" s="95">
        <v>332140037</v>
      </c>
    </row>
    <row r="13" spans="1:16">
      <c r="A13" s="2">
        <v>2019</v>
      </c>
      <c r="B13" s="95">
        <v>334319671</v>
      </c>
    </row>
    <row r="14" spans="1:16">
      <c r="A14" s="2">
        <v>2020</v>
      </c>
      <c r="B14" s="95">
        <v>335942003</v>
      </c>
    </row>
    <row r="15" spans="1:16">
      <c r="A15" s="2">
        <v>2021</v>
      </c>
      <c r="B15" s="95">
        <v>336997624</v>
      </c>
    </row>
    <row r="16" spans="1:16">
      <c r="A16" s="2">
        <v>2022</v>
      </c>
      <c r="B16" s="95">
        <v>338289857</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75A7-42DE-47AA-9810-BE8981D9C88E}">
  <sheetPr codeName="Sheet625"/>
  <dimension ref="A1:E5"/>
  <sheetViews>
    <sheetView workbookViewId="0">
      <selection activeCell="B17" sqref="B17"/>
    </sheetView>
  </sheetViews>
  <sheetFormatPr defaultRowHeight="14.4"/>
  <cols>
    <col min="1" max="1" width="11.5546875" bestFit="1" customWidth="1"/>
    <col min="2" max="5" width="23.88671875" bestFit="1" customWidth="1"/>
  </cols>
  <sheetData>
    <row r="1" spans="1:5">
      <c r="A1" s="1" t="s">
        <v>97</v>
      </c>
      <c r="B1" s="1" t="s">
        <v>4929</v>
      </c>
      <c r="C1" s="1" t="s">
        <v>4928</v>
      </c>
      <c r="D1" s="1" t="s">
        <v>4927</v>
      </c>
      <c r="E1" s="1" t="s">
        <v>4926</v>
      </c>
    </row>
    <row r="2" spans="1:5">
      <c r="A2" s="2" t="s">
        <v>394</v>
      </c>
      <c r="B2" s="2">
        <v>93</v>
      </c>
      <c r="C2" s="2">
        <v>100</v>
      </c>
      <c r="D2" s="2">
        <v>99</v>
      </c>
      <c r="E2" s="2">
        <v>95</v>
      </c>
    </row>
    <row r="3" spans="1:5">
      <c r="A3" s="2" t="s">
        <v>395</v>
      </c>
      <c r="B3" s="2">
        <v>95</v>
      </c>
      <c r="C3" s="2">
        <v>99</v>
      </c>
      <c r="D3" s="2">
        <v>98</v>
      </c>
      <c r="E3" s="2">
        <v>100</v>
      </c>
    </row>
    <row r="4" spans="1:5">
      <c r="A4" s="2" t="s">
        <v>396</v>
      </c>
      <c r="B4" s="2">
        <v>94</v>
      </c>
      <c r="C4" s="2">
        <v>98</v>
      </c>
      <c r="D4" s="2">
        <v>95</v>
      </c>
      <c r="E4" s="2">
        <v>90</v>
      </c>
    </row>
    <row r="5" spans="1:5">
      <c r="A5" s="2" t="s">
        <v>397</v>
      </c>
      <c r="B5" s="2">
        <v>91</v>
      </c>
      <c r="C5" s="2">
        <v>93</v>
      </c>
      <c r="D5" s="2">
        <v>95</v>
      </c>
      <c r="E5" s="2">
        <v>94</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6DC7-6445-457E-83FB-8863C25D30B9}">
  <sheetPr codeName="Sheet626"/>
  <dimension ref="A1:G7"/>
  <sheetViews>
    <sheetView workbookViewId="0">
      <selection activeCell="B17" sqref="B17"/>
    </sheetView>
  </sheetViews>
  <sheetFormatPr defaultRowHeight="14.4"/>
  <sheetData>
    <row r="1" spans="1:7">
      <c r="A1" s="369" t="s">
        <v>4930</v>
      </c>
      <c r="B1" s="369" t="s">
        <v>4931</v>
      </c>
      <c r="C1" s="369"/>
      <c r="D1" s="369"/>
      <c r="E1" s="369"/>
      <c r="F1" s="369"/>
      <c r="G1" s="369"/>
    </row>
    <row r="2" spans="1:7">
      <c r="A2" s="369"/>
      <c r="B2" s="1">
        <v>10</v>
      </c>
      <c r="C2" s="1">
        <v>20</v>
      </c>
      <c r="D2" s="1">
        <v>30</v>
      </c>
      <c r="E2" s="1">
        <v>40</v>
      </c>
      <c r="F2" s="1">
        <v>50</v>
      </c>
      <c r="G2" s="1">
        <v>60</v>
      </c>
    </row>
    <row r="3" spans="1:7">
      <c r="A3" s="2" t="s">
        <v>4932</v>
      </c>
      <c r="B3" s="2">
        <v>55</v>
      </c>
      <c r="C3" s="2">
        <v>30</v>
      </c>
      <c r="D3" s="2">
        <v>50</v>
      </c>
      <c r="E3" s="2">
        <v>25</v>
      </c>
      <c r="F3" s="2">
        <v>35</v>
      </c>
      <c r="G3" s="2">
        <v>40</v>
      </c>
    </row>
    <row r="4" spans="1:7">
      <c r="A4" s="2" t="s">
        <v>4933</v>
      </c>
      <c r="B4" s="2">
        <v>35</v>
      </c>
      <c r="C4" s="2">
        <v>20</v>
      </c>
      <c r="D4" s="2">
        <v>40</v>
      </c>
      <c r="E4" s="2">
        <v>25</v>
      </c>
      <c r="F4" s="2">
        <v>45</v>
      </c>
      <c r="G4" s="2">
        <v>30</v>
      </c>
    </row>
    <row r="5" spans="1:7">
      <c r="A5" s="2" t="s">
        <v>4934</v>
      </c>
      <c r="B5" s="2">
        <v>65</v>
      </c>
      <c r="C5" s="2">
        <v>10</v>
      </c>
      <c r="D5" s="2">
        <v>80</v>
      </c>
      <c r="E5" s="2">
        <v>20</v>
      </c>
      <c r="F5" s="2">
        <v>40</v>
      </c>
      <c r="G5" s="2">
        <v>50</v>
      </c>
    </row>
    <row r="6" spans="1:7">
      <c r="A6" s="2" t="s">
        <v>4935</v>
      </c>
      <c r="B6" s="2">
        <v>45</v>
      </c>
      <c r="C6" s="2">
        <v>80</v>
      </c>
      <c r="D6" s="2">
        <v>50</v>
      </c>
      <c r="E6" s="2">
        <v>85</v>
      </c>
      <c r="F6" s="2">
        <v>35</v>
      </c>
      <c r="G6" s="2">
        <v>70</v>
      </c>
    </row>
    <row r="7" spans="1:7">
      <c r="A7" s="2" t="s">
        <v>4936</v>
      </c>
      <c r="B7" s="2">
        <v>85</v>
      </c>
      <c r="C7" s="2">
        <v>95</v>
      </c>
      <c r="D7" s="2">
        <v>75</v>
      </c>
      <c r="E7" s="2">
        <v>90</v>
      </c>
      <c r="F7" s="2">
        <v>60</v>
      </c>
      <c r="G7" s="2">
        <v>80</v>
      </c>
    </row>
  </sheetData>
  <sortState xmlns:xlrd2="http://schemas.microsoft.com/office/spreadsheetml/2017/richdata2" columnSort="1" ref="B2:G7">
    <sortCondition ref="B2:G2"/>
  </sortState>
  <mergeCells count="2">
    <mergeCell ref="B1:G1"/>
    <mergeCell ref="A1:A2"/>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B067-FDAA-4E03-81FE-783C89FE348E}">
  <sheetPr codeName="Sheet627"/>
  <dimension ref="A1:E6"/>
  <sheetViews>
    <sheetView workbookViewId="0">
      <selection activeCell="B17" sqref="B17"/>
    </sheetView>
  </sheetViews>
  <sheetFormatPr defaultRowHeight="14.4"/>
  <cols>
    <col min="1" max="1" width="6.88671875" bestFit="1" customWidth="1"/>
    <col min="2" max="3" width="13.88671875" customWidth="1"/>
    <col min="4" max="5" width="13.88671875" bestFit="1" customWidth="1"/>
  </cols>
  <sheetData>
    <row r="1" spans="1:5">
      <c r="A1" s="1" t="s">
        <v>4937</v>
      </c>
      <c r="B1" s="1" t="s">
        <v>4943</v>
      </c>
      <c r="C1" s="1" t="s">
        <v>4945</v>
      </c>
      <c r="D1" s="1" t="s">
        <v>4946</v>
      </c>
      <c r="E1" s="1" t="s">
        <v>4944</v>
      </c>
    </row>
    <row r="2" spans="1:5">
      <c r="A2" s="2" t="s">
        <v>4938</v>
      </c>
      <c r="B2" s="53">
        <v>2.5</v>
      </c>
      <c r="C2" s="53">
        <v>4.8</v>
      </c>
      <c r="D2" s="53">
        <v>3.2</v>
      </c>
      <c r="E2" s="53">
        <v>5</v>
      </c>
    </row>
    <row r="3" spans="1:5">
      <c r="A3" s="2" t="s">
        <v>4939</v>
      </c>
      <c r="B3" s="53">
        <v>1.8</v>
      </c>
      <c r="C3" s="53">
        <v>4.3</v>
      </c>
      <c r="D3" s="53">
        <v>3.8</v>
      </c>
      <c r="E3" s="53">
        <v>5.5</v>
      </c>
    </row>
    <row r="4" spans="1:5">
      <c r="A4" s="2" t="s">
        <v>4940</v>
      </c>
      <c r="B4" s="53">
        <v>1.5</v>
      </c>
      <c r="C4" s="53">
        <v>5</v>
      </c>
      <c r="D4" s="53">
        <v>3.3</v>
      </c>
      <c r="E4" s="53">
        <v>5.3</v>
      </c>
    </row>
    <row r="5" spans="1:5">
      <c r="A5" s="2" t="s">
        <v>4941</v>
      </c>
      <c r="B5" s="53">
        <v>3</v>
      </c>
      <c r="C5" s="53">
        <v>5.3</v>
      </c>
      <c r="D5" s="53">
        <v>3.6</v>
      </c>
      <c r="E5" s="53">
        <v>4.5</v>
      </c>
    </row>
    <row r="6" spans="1:5">
      <c r="A6" s="2" t="s">
        <v>4942</v>
      </c>
      <c r="B6" s="53">
        <v>3.5</v>
      </c>
      <c r="C6" s="53">
        <v>5.5</v>
      </c>
      <c r="D6" s="53">
        <v>3.9</v>
      </c>
      <c r="E6" s="53">
        <v>4.8</v>
      </c>
    </row>
  </sheetData>
  <sortState xmlns:xlrd2="http://schemas.microsoft.com/office/spreadsheetml/2017/richdata2" columnSort="1" ref="B1:E6">
    <sortCondition ref="B1:E1"/>
  </sortState>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D379-CF80-4189-81DD-384F7A340FC4}">
  <sheetPr codeName="Sheet628"/>
  <dimension ref="A1:F6"/>
  <sheetViews>
    <sheetView workbookViewId="0">
      <selection activeCell="B17" sqref="B17"/>
    </sheetView>
  </sheetViews>
  <sheetFormatPr defaultRowHeight="14.4"/>
  <cols>
    <col min="1" max="1" width="8.33203125" bestFit="1" customWidth="1"/>
    <col min="2" max="6" width="9.44140625" bestFit="1" customWidth="1"/>
  </cols>
  <sheetData>
    <row r="1" spans="1:6">
      <c r="A1" s="369" t="s">
        <v>4947</v>
      </c>
      <c r="B1" s="369" t="s">
        <v>4948</v>
      </c>
      <c r="C1" s="369"/>
      <c r="D1" s="369"/>
      <c r="E1" s="369"/>
      <c r="F1" s="369"/>
    </row>
    <row r="2" spans="1:6">
      <c r="A2" s="369"/>
      <c r="B2" s="321">
        <v>44866</v>
      </c>
      <c r="C2" s="321">
        <v>44867</v>
      </c>
      <c r="D2" s="321">
        <v>44868</v>
      </c>
      <c r="E2" s="321">
        <v>44869</v>
      </c>
      <c r="F2" s="321">
        <v>44870</v>
      </c>
    </row>
    <row r="3" spans="1:6">
      <c r="A3" s="2" t="s">
        <v>4949</v>
      </c>
      <c r="B3" s="2">
        <v>2500</v>
      </c>
      <c r="C3" s="2">
        <v>1500</v>
      </c>
      <c r="D3" s="2">
        <v>2100</v>
      </c>
      <c r="E3" s="2">
        <v>1800</v>
      </c>
      <c r="F3" s="2">
        <v>2200</v>
      </c>
    </row>
    <row r="4" spans="1:6">
      <c r="A4" s="2" t="s">
        <v>4950</v>
      </c>
      <c r="B4" s="2">
        <v>2700</v>
      </c>
      <c r="C4" s="2">
        <v>1900</v>
      </c>
      <c r="D4" s="2">
        <v>2200</v>
      </c>
      <c r="E4" s="2">
        <v>2000</v>
      </c>
      <c r="F4" s="2">
        <v>2500</v>
      </c>
    </row>
    <row r="5" spans="1:6">
      <c r="A5" s="2" t="s">
        <v>4951</v>
      </c>
      <c r="B5" s="2">
        <v>3000</v>
      </c>
      <c r="C5" s="2">
        <v>2000</v>
      </c>
      <c r="D5" s="2">
        <v>2500</v>
      </c>
      <c r="E5" s="2">
        <v>2300</v>
      </c>
      <c r="F5" s="2">
        <v>2800</v>
      </c>
    </row>
    <row r="6" spans="1:6">
      <c r="A6" s="2" t="s">
        <v>4952</v>
      </c>
      <c r="B6" s="2">
        <v>3500</v>
      </c>
      <c r="C6" s="2">
        <v>2500</v>
      </c>
      <c r="D6" s="2">
        <v>3100</v>
      </c>
      <c r="E6" s="2">
        <v>2800</v>
      </c>
      <c r="F6" s="2">
        <v>3200</v>
      </c>
    </row>
  </sheetData>
  <sortState xmlns:xlrd2="http://schemas.microsoft.com/office/spreadsheetml/2017/richdata2" columnSort="1" ref="B2:F6">
    <sortCondition ref="B2:F2"/>
  </sortState>
  <mergeCells count="2">
    <mergeCell ref="B1:F1"/>
    <mergeCell ref="A1:A2"/>
  </mergeCell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6786-CB93-4006-9074-B72EA3098E3D}">
  <sheetPr codeName="Sheet629"/>
  <dimension ref="A1:G4"/>
  <sheetViews>
    <sheetView zoomScale="90" zoomScaleNormal="90" workbookViewId="0">
      <selection activeCell="B17" sqref="B17"/>
    </sheetView>
  </sheetViews>
  <sheetFormatPr defaultRowHeight="14.4"/>
  <cols>
    <col min="1" max="1" width="12.88671875" style="14" bestFit="1" customWidth="1"/>
    <col min="2" max="7" width="24.44140625" bestFit="1" customWidth="1"/>
  </cols>
  <sheetData>
    <row r="1" spans="1:7">
      <c r="A1" s="1" t="s">
        <v>4958</v>
      </c>
      <c r="B1" s="1" t="s">
        <v>4362</v>
      </c>
      <c r="C1" s="1" t="s">
        <v>4953</v>
      </c>
      <c r="D1" s="1" t="s">
        <v>4954</v>
      </c>
      <c r="E1" s="1" t="s">
        <v>4957</v>
      </c>
      <c r="F1" s="1" t="s">
        <v>4956</v>
      </c>
      <c r="G1" s="1" t="s">
        <v>4955</v>
      </c>
    </row>
    <row r="2" spans="1:7">
      <c r="A2" s="2" t="s">
        <v>136</v>
      </c>
      <c r="B2" s="53">
        <v>200</v>
      </c>
      <c r="C2" s="53">
        <v>1000</v>
      </c>
      <c r="D2" s="53">
        <v>1000</v>
      </c>
      <c r="E2" s="53">
        <v>1500</v>
      </c>
      <c r="F2" s="53">
        <v>2100</v>
      </c>
      <c r="G2" s="53">
        <v>2500</v>
      </c>
    </row>
    <row r="3" spans="1:7">
      <c r="A3" s="2" t="s">
        <v>1457</v>
      </c>
      <c r="B3" s="2">
        <v>2000</v>
      </c>
      <c r="C3" s="2">
        <v>1000</v>
      </c>
      <c r="D3" s="2">
        <v>1400</v>
      </c>
      <c r="E3" s="2">
        <v>850</v>
      </c>
      <c r="F3" s="2">
        <v>890</v>
      </c>
      <c r="G3" s="2">
        <v>2100</v>
      </c>
    </row>
    <row r="4" spans="1:7">
      <c r="A4" s="2" t="s">
        <v>706</v>
      </c>
      <c r="B4" s="20">
        <v>44575</v>
      </c>
      <c r="C4" s="20">
        <v>44593</v>
      </c>
      <c r="D4" s="20">
        <v>44602</v>
      </c>
      <c r="E4" s="20">
        <v>44612</v>
      </c>
      <c r="F4" s="20">
        <v>44565</v>
      </c>
      <c r="G4" s="20">
        <v>44571</v>
      </c>
    </row>
  </sheetData>
  <sortState xmlns:xlrd2="http://schemas.microsoft.com/office/spreadsheetml/2017/richdata2" columnSort="1" ref="B1:G4">
    <sortCondition ref="B2:G2"/>
    <sortCondition ref="B4:G4"/>
  </sortState>
  <pageMargins left="0.7" right="0.7" top="0.75" bottom="0.75" header="0.3" footer="0.3"/>
  <pageSetup orientation="portrait" horizontalDpi="4294967293" verticalDpi="0" r:id="rId1"/>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BFE1B-01F1-499E-B13B-2D90EC18D02B}">
  <sheetPr codeName="Sheet630"/>
  <dimension ref="A1:G3"/>
  <sheetViews>
    <sheetView workbookViewId="0"/>
  </sheetViews>
  <sheetFormatPr defaultRowHeight="14.4"/>
  <cols>
    <col min="1" max="1" width="12.6640625" bestFit="1" customWidth="1"/>
    <col min="2" max="4" width="14.5546875" customWidth="1"/>
    <col min="5" max="5" width="14.5546875" bestFit="1" customWidth="1"/>
    <col min="6" max="7" width="14.5546875" customWidth="1"/>
  </cols>
  <sheetData>
    <row r="1" spans="1:7">
      <c r="A1" s="1" t="s">
        <v>4959</v>
      </c>
      <c r="B1" s="1" t="s">
        <v>4964</v>
      </c>
      <c r="C1" s="1" t="s">
        <v>4961</v>
      </c>
      <c r="D1" s="1" t="s">
        <v>4965</v>
      </c>
      <c r="E1" s="1" t="s">
        <v>4963</v>
      </c>
      <c r="F1" s="1" t="s">
        <v>4962</v>
      </c>
      <c r="G1" s="1" t="s">
        <v>4966</v>
      </c>
    </row>
    <row r="2" spans="1:7">
      <c r="A2" s="2" t="s">
        <v>4960</v>
      </c>
      <c r="B2" s="2">
        <v>10</v>
      </c>
      <c r="C2" s="2">
        <v>9</v>
      </c>
      <c r="D2" s="2">
        <v>9</v>
      </c>
      <c r="E2" s="2">
        <v>8.9</v>
      </c>
      <c r="F2" s="2">
        <v>6.5</v>
      </c>
      <c r="G2" s="2">
        <v>5.4</v>
      </c>
    </row>
    <row r="3" spans="1:7">
      <c r="A3" s="2" t="s">
        <v>2039</v>
      </c>
      <c r="B3" s="2" t="s">
        <v>3906</v>
      </c>
      <c r="C3" s="2" t="s">
        <v>3906</v>
      </c>
      <c r="D3" s="2" t="s">
        <v>4295</v>
      </c>
      <c r="E3" s="2" t="s">
        <v>3906</v>
      </c>
      <c r="F3" s="2" t="s">
        <v>4294</v>
      </c>
      <c r="G3" s="2" t="s">
        <v>4294</v>
      </c>
    </row>
  </sheetData>
  <sortState xmlns:xlrd2="http://schemas.microsoft.com/office/spreadsheetml/2017/richdata2" columnSort="1" ref="B1:G3">
    <sortCondition descending="1" ref="B2:G2"/>
    <sortCondition ref="B3:G3" customList="Good,Average,Poor"/>
  </sortState>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8D42-F170-4E97-AC8E-AE1E9AC33C59}">
  <sheetPr codeName="Sheet631"/>
  <dimension ref="A1:C7"/>
  <sheetViews>
    <sheetView workbookViewId="0">
      <selection activeCell="B2" sqref="B2"/>
    </sheetView>
  </sheetViews>
  <sheetFormatPr defaultRowHeight="14.4"/>
  <cols>
    <col min="1" max="1" width="44.88671875" bestFit="1" customWidth="1"/>
    <col min="2" max="2" width="19.88671875" bestFit="1" customWidth="1"/>
    <col min="3" max="3" width="29.109375" bestFit="1" customWidth="1"/>
  </cols>
  <sheetData>
    <row r="1" spans="1:3">
      <c r="A1" s="1" t="s">
        <v>1633</v>
      </c>
      <c r="B1" s="1" t="s">
        <v>5022</v>
      </c>
      <c r="C1" s="1" t="s">
        <v>1145</v>
      </c>
    </row>
    <row r="2" spans="1:3">
      <c r="A2" s="2" t="s">
        <v>4967</v>
      </c>
      <c r="B2" s="7">
        <f>_xlfn.UNICODE(A2)</f>
        <v>84</v>
      </c>
      <c r="C2" s="65" t="s">
        <v>4971</v>
      </c>
    </row>
    <row r="3" spans="1:3">
      <c r="A3" s="2" t="s">
        <v>4978</v>
      </c>
      <c r="B3" s="7">
        <f>_xlfn.UNICODE(A3)</f>
        <v>951</v>
      </c>
      <c r="C3" s="65" t="s">
        <v>4972</v>
      </c>
    </row>
    <row r="4" spans="1:3">
      <c r="A4" s="2" t="s">
        <v>4977</v>
      </c>
      <c r="B4" s="7">
        <f t="shared" ref="B4:B7" si="0">_xlfn.UNICODE(A4)</f>
        <v>9733</v>
      </c>
      <c r="C4" s="65" t="s">
        <v>4973</v>
      </c>
    </row>
    <row r="5" spans="1:3">
      <c r="A5" s="2" t="s">
        <v>4968</v>
      </c>
      <c r="B5" s="7">
        <f t="shared" si="0"/>
        <v>57</v>
      </c>
      <c r="C5" s="65" t="s">
        <v>4974</v>
      </c>
    </row>
    <row r="6" spans="1:3">
      <c r="A6" s="2" t="s">
        <v>4969</v>
      </c>
      <c r="B6" s="7">
        <f t="shared" si="0"/>
        <v>91</v>
      </c>
      <c r="C6" s="65" t="s">
        <v>4975</v>
      </c>
    </row>
    <row r="7" spans="1:3">
      <c r="A7" s="2" t="s">
        <v>4970</v>
      </c>
      <c r="B7" s="7">
        <f t="shared" si="0"/>
        <v>253</v>
      </c>
      <c r="C7" s="65" t="s">
        <v>4976</v>
      </c>
    </row>
  </sheetData>
  <pageMargins left="0.7" right="0.7" top="0.75" bottom="0.75" header="0.3" footer="0.3"/>
  <pageSetup orientation="portrait" horizontalDpi="4294967293" verticalDpi="0" r:id="rId1"/>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E4205-8316-4CC8-AA04-90A1BF274EB0}">
  <sheetPr codeName="Sheet632"/>
  <dimension ref="B2:C8"/>
  <sheetViews>
    <sheetView workbookViewId="0">
      <selection activeCell="B2" sqref="B2"/>
    </sheetView>
  </sheetViews>
  <sheetFormatPr defaultRowHeight="14.4"/>
  <cols>
    <col min="2" max="2" width="32.5546875" bestFit="1" customWidth="1"/>
    <col min="3" max="3" width="12.88671875" bestFit="1" customWidth="1"/>
  </cols>
  <sheetData>
    <row r="2" spans="2:3">
      <c r="B2" s="1" t="s">
        <v>1633</v>
      </c>
      <c r="C2" s="1" t="s">
        <v>4979</v>
      </c>
    </row>
    <row r="3" spans="2:3">
      <c r="B3" s="5" t="s">
        <v>4980</v>
      </c>
      <c r="C3" s="7">
        <f>_xlfn.UNICODE(B3)</f>
        <v>963</v>
      </c>
    </row>
    <row r="4" spans="2:3">
      <c r="B4" s="2" t="s">
        <v>4996</v>
      </c>
      <c r="C4" s="7">
        <f t="shared" ref="C4:C8" si="0">_xlfn.UNICODE(B4)</f>
        <v>9872</v>
      </c>
    </row>
    <row r="5" spans="2:3">
      <c r="B5" s="2" t="s">
        <v>4997</v>
      </c>
      <c r="C5" s="7">
        <f t="shared" si="0"/>
        <v>128519</v>
      </c>
    </row>
    <row r="6" spans="2:3">
      <c r="B6" s="2" t="s">
        <v>4998</v>
      </c>
      <c r="C6" s="7">
        <f t="shared" si="0"/>
        <v>8596</v>
      </c>
    </row>
    <row r="7" spans="2:3">
      <c r="B7" s="2" t="s">
        <v>2169</v>
      </c>
      <c r="C7" s="7">
        <f t="shared" si="0"/>
        <v>77</v>
      </c>
    </row>
    <row r="8" spans="2:3">
      <c r="B8" s="2" t="s">
        <v>654</v>
      </c>
      <c r="C8" s="7">
        <f t="shared" si="0"/>
        <v>109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8D1B-A958-4E9C-B5DC-1A51BE57A9E4}">
  <sheetPr codeName="Sheet633"/>
  <dimension ref="B2:C7"/>
  <sheetViews>
    <sheetView workbookViewId="0">
      <selection activeCell="B2" sqref="B2"/>
    </sheetView>
  </sheetViews>
  <sheetFormatPr defaultRowHeight="14.4"/>
  <cols>
    <col min="2" max="2" width="18.109375" bestFit="1" customWidth="1"/>
    <col min="3" max="3" width="12.88671875" bestFit="1" customWidth="1"/>
  </cols>
  <sheetData>
    <row r="2" spans="2:3">
      <c r="B2" s="1" t="s">
        <v>864</v>
      </c>
      <c r="C2" s="1" t="s">
        <v>4979</v>
      </c>
    </row>
    <row r="3" spans="2:3">
      <c r="B3" s="322" t="s">
        <v>4981</v>
      </c>
      <c r="C3" s="7">
        <f>_xlfn.UNICODE(B3)</f>
        <v>9312</v>
      </c>
    </row>
    <row r="4" spans="2:3">
      <c r="B4" s="322" t="s">
        <v>4982</v>
      </c>
      <c r="C4" s="7">
        <f t="shared" ref="C4:C7" si="0">_xlfn.UNICODE(B4)</f>
        <v>9313</v>
      </c>
    </row>
    <row r="5" spans="2:3">
      <c r="B5" s="65" t="s">
        <v>4983</v>
      </c>
      <c r="C5" s="7">
        <f t="shared" si="0"/>
        <v>9314</v>
      </c>
    </row>
    <row r="6" spans="2:3">
      <c r="B6" s="65" t="s">
        <v>4984</v>
      </c>
      <c r="C6" s="7">
        <f t="shared" si="0"/>
        <v>9315</v>
      </c>
    </row>
    <row r="7" spans="2:3">
      <c r="B7" s="65" t="s">
        <v>4985</v>
      </c>
      <c r="C7" s="7">
        <f t="shared" si="0"/>
        <v>9316</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751-7894-4754-8CF2-1BEC754ED739}">
  <sheetPr codeName="Sheet634"/>
  <dimension ref="A1:C8"/>
  <sheetViews>
    <sheetView workbookViewId="0">
      <selection activeCell="B2" sqref="B2"/>
    </sheetView>
  </sheetViews>
  <sheetFormatPr defaultRowHeight="14.4"/>
  <cols>
    <col min="1" max="1" width="22.88671875" bestFit="1" customWidth="1"/>
    <col min="2" max="2" width="8.6640625" customWidth="1"/>
    <col min="3" max="3" width="12.88671875" bestFit="1" customWidth="1"/>
  </cols>
  <sheetData>
    <row r="1" spans="1:3">
      <c r="A1" s="1" t="s">
        <v>622</v>
      </c>
      <c r="B1" s="1" t="s">
        <v>1633</v>
      </c>
      <c r="C1" s="1" t="s">
        <v>4979</v>
      </c>
    </row>
    <row r="2" spans="1:3">
      <c r="A2" s="2" t="s">
        <v>4986</v>
      </c>
      <c r="B2" s="2" t="str">
        <f>_xlfn.UNICHAR(97)</f>
        <v>a</v>
      </c>
      <c r="C2" s="7">
        <f>_xlfn.UNICODE(B2)</f>
        <v>97</v>
      </c>
    </row>
    <row r="3" spans="1:3">
      <c r="A3" s="2" t="s">
        <v>4987</v>
      </c>
      <c r="B3" s="2" t="str">
        <f>_xlfn.UNICHAR(98)</f>
        <v>b</v>
      </c>
      <c r="C3" s="7">
        <f t="shared" ref="C3:C8" si="0">_xlfn.UNICODE(B3)</f>
        <v>98</v>
      </c>
    </row>
    <row r="4" spans="1:3">
      <c r="A4" s="2" t="s">
        <v>4988</v>
      </c>
      <c r="B4" s="2" t="str">
        <f>_xlfn.UNICHAR(99)</f>
        <v>c</v>
      </c>
      <c r="C4" s="7">
        <f t="shared" si="0"/>
        <v>99</v>
      </c>
    </row>
    <row r="5" spans="1:3">
      <c r="A5" s="2" t="s">
        <v>4989</v>
      </c>
      <c r="B5" s="2" t="str">
        <f>_xlfn.UNICHAR(100)</f>
        <v>d</v>
      </c>
      <c r="C5" s="7">
        <f t="shared" si="0"/>
        <v>100</v>
      </c>
    </row>
    <row r="6" spans="1:3">
      <c r="A6" s="2" t="s">
        <v>4993</v>
      </c>
      <c r="B6" s="2" t="s">
        <v>4990</v>
      </c>
      <c r="C6" s="7">
        <f t="shared" si="0"/>
        <v>12354</v>
      </c>
    </row>
    <row r="7" spans="1:3">
      <c r="A7" s="2" t="s">
        <v>4994</v>
      </c>
      <c r="B7" s="2" t="s">
        <v>4991</v>
      </c>
      <c r="C7" s="7">
        <f t="shared" si="0"/>
        <v>12354</v>
      </c>
    </row>
    <row r="8" spans="1:3">
      <c r="A8" s="2" t="s">
        <v>4995</v>
      </c>
      <c r="B8" s="2" t="s">
        <v>4992</v>
      </c>
      <c r="C8" s="7">
        <f t="shared" si="0"/>
        <v>12354</v>
      </c>
    </row>
  </sheetData>
  <pageMargins left="0.7" right="0.7" top="0.75" bottom="0.75" header="0.3" footer="0.3"/>
  <pageSetup orientation="portrait" horizontalDpi="4294967293" verticalDpi="0" r:id="rId1"/>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18B5-FC55-4641-B405-35F3AB74CDD3}">
  <sheetPr codeName="Sheet635"/>
  <dimension ref="B1:C41"/>
  <sheetViews>
    <sheetView topLeftCell="A21" workbookViewId="0">
      <selection activeCell="C1" sqref="C1:C10"/>
    </sheetView>
  </sheetViews>
  <sheetFormatPr defaultRowHeight="14.4"/>
  <sheetData>
    <row r="1" spans="2:3">
      <c r="B1">
        <v>8544</v>
      </c>
      <c r="C1" t="s">
        <v>4999</v>
      </c>
    </row>
    <row r="2" spans="2:3">
      <c r="B2">
        <v>8545</v>
      </c>
      <c r="C2" t="s">
        <v>5000</v>
      </c>
    </row>
    <row r="3" spans="2:3">
      <c r="B3">
        <v>8546</v>
      </c>
      <c r="C3" t="s">
        <v>5001</v>
      </c>
    </row>
    <row r="4" spans="2:3">
      <c r="B4">
        <v>8547</v>
      </c>
      <c r="C4" t="s">
        <v>5002</v>
      </c>
    </row>
    <row r="5" spans="2:3">
      <c r="B5">
        <v>8548</v>
      </c>
      <c r="C5" t="s">
        <v>5003</v>
      </c>
    </row>
    <row r="6" spans="2:3">
      <c r="B6">
        <v>8549</v>
      </c>
      <c r="C6" t="s">
        <v>5004</v>
      </c>
    </row>
    <row r="7" spans="2:3">
      <c r="B7">
        <v>8550</v>
      </c>
      <c r="C7" t="s">
        <v>5005</v>
      </c>
    </row>
    <row r="8" spans="2:3">
      <c r="B8">
        <v>8551</v>
      </c>
      <c r="C8" t="s">
        <v>5006</v>
      </c>
    </row>
    <row r="9" spans="2:3">
      <c r="B9">
        <v>8552</v>
      </c>
      <c r="C9" t="s">
        <v>5007</v>
      </c>
    </row>
    <row r="10" spans="2:3">
      <c r="B10">
        <v>8553</v>
      </c>
      <c r="C10" t="s">
        <v>5008</v>
      </c>
    </row>
    <row r="11" spans="2:3">
      <c r="B11">
        <v>8554</v>
      </c>
      <c r="C11" t="str">
        <f t="shared" ref="C11:C41" si="0">_xlfn.UNICHAR(B11)</f>
        <v>Ⅺ</v>
      </c>
    </row>
    <row r="12" spans="2:3">
      <c r="B12">
        <v>8555</v>
      </c>
      <c r="C12" t="str">
        <f t="shared" si="0"/>
        <v>Ⅻ</v>
      </c>
    </row>
    <row r="13" spans="2:3">
      <c r="B13">
        <v>8556</v>
      </c>
      <c r="C13" t="str">
        <f t="shared" si="0"/>
        <v>Ⅼ</v>
      </c>
    </row>
    <row r="14" spans="2:3">
      <c r="B14">
        <v>8557</v>
      </c>
      <c r="C14" t="str">
        <f t="shared" si="0"/>
        <v>Ⅽ</v>
      </c>
    </row>
    <row r="15" spans="2:3">
      <c r="B15">
        <v>8558</v>
      </c>
      <c r="C15" t="str">
        <f t="shared" si="0"/>
        <v>Ⅾ</v>
      </c>
    </row>
    <row r="16" spans="2:3">
      <c r="B16">
        <v>8559</v>
      </c>
      <c r="C16" t="str">
        <f t="shared" si="0"/>
        <v>Ⅿ</v>
      </c>
    </row>
    <row r="17" spans="2:3">
      <c r="B17">
        <v>8560</v>
      </c>
      <c r="C17" t="str">
        <f t="shared" si="0"/>
        <v>ⅰ</v>
      </c>
    </row>
    <row r="18" spans="2:3">
      <c r="B18">
        <v>8561</v>
      </c>
      <c r="C18" t="str">
        <f t="shared" si="0"/>
        <v>ⅱ</v>
      </c>
    </row>
    <row r="19" spans="2:3">
      <c r="B19">
        <v>8562</v>
      </c>
      <c r="C19" t="str">
        <f t="shared" si="0"/>
        <v>ⅲ</v>
      </c>
    </row>
    <row r="20" spans="2:3">
      <c r="B20">
        <v>8563</v>
      </c>
      <c r="C20" t="str">
        <f t="shared" si="0"/>
        <v>ⅳ</v>
      </c>
    </row>
    <row r="21" spans="2:3">
      <c r="B21">
        <v>8564</v>
      </c>
      <c r="C21" t="str">
        <f t="shared" si="0"/>
        <v>ⅴ</v>
      </c>
    </row>
    <row r="22" spans="2:3">
      <c r="B22">
        <v>8565</v>
      </c>
      <c r="C22" t="str">
        <f t="shared" si="0"/>
        <v>ⅵ</v>
      </c>
    </row>
    <row r="23" spans="2:3">
      <c r="B23">
        <v>8566</v>
      </c>
      <c r="C23" t="str">
        <f t="shared" si="0"/>
        <v>ⅶ</v>
      </c>
    </row>
    <row r="24" spans="2:3">
      <c r="B24">
        <v>8567</v>
      </c>
      <c r="C24" t="str">
        <f t="shared" si="0"/>
        <v>ⅷ</v>
      </c>
    </row>
    <row r="25" spans="2:3">
      <c r="B25">
        <v>8568</v>
      </c>
      <c r="C25" t="str">
        <f t="shared" si="0"/>
        <v>ⅸ</v>
      </c>
    </row>
    <row r="26" spans="2:3">
      <c r="B26">
        <v>8569</v>
      </c>
      <c r="C26" t="str">
        <f t="shared" si="0"/>
        <v>ⅹ</v>
      </c>
    </row>
    <row r="27" spans="2:3">
      <c r="B27">
        <v>8570</v>
      </c>
      <c r="C27" t="str">
        <f t="shared" si="0"/>
        <v>ⅺ</v>
      </c>
    </row>
    <row r="28" spans="2:3">
      <c r="B28">
        <v>8571</v>
      </c>
      <c r="C28" t="str">
        <f t="shared" si="0"/>
        <v>ⅻ</v>
      </c>
    </row>
    <row r="29" spans="2:3">
      <c r="B29">
        <v>8572</v>
      </c>
      <c r="C29" t="str">
        <f t="shared" si="0"/>
        <v>ⅼ</v>
      </c>
    </row>
    <row r="30" spans="2:3">
      <c r="B30">
        <v>8573</v>
      </c>
      <c r="C30" t="str">
        <f t="shared" si="0"/>
        <v>ⅽ</v>
      </c>
    </row>
    <row r="31" spans="2:3">
      <c r="B31">
        <v>8574</v>
      </c>
      <c r="C31" t="str">
        <f t="shared" si="0"/>
        <v>ⅾ</v>
      </c>
    </row>
    <row r="32" spans="2:3">
      <c r="B32">
        <v>8575</v>
      </c>
      <c r="C32" t="str">
        <f t="shared" si="0"/>
        <v>ⅿ</v>
      </c>
    </row>
    <row r="33" spans="2:3">
      <c r="B33">
        <v>8576</v>
      </c>
      <c r="C33" t="str">
        <f t="shared" si="0"/>
        <v>ↀ</v>
      </c>
    </row>
    <row r="34" spans="2:3">
      <c r="B34">
        <v>8577</v>
      </c>
      <c r="C34" t="str">
        <f t="shared" si="0"/>
        <v>ↁ</v>
      </c>
    </row>
    <row r="35" spans="2:3">
      <c r="B35">
        <v>8578</v>
      </c>
      <c r="C35" t="str">
        <f t="shared" si="0"/>
        <v>ↂ</v>
      </c>
    </row>
    <row r="36" spans="2:3">
      <c r="B36">
        <v>8579</v>
      </c>
      <c r="C36" t="str">
        <f t="shared" si="0"/>
        <v>Ↄ</v>
      </c>
    </row>
    <row r="37" spans="2:3">
      <c r="B37">
        <v>8580</v>
      </c>
      <c r="C37" t="str">
        <f t="shared" si="0"/>
        <v>ↄ</v>
      </c>
    </row>
    <row r="38" spans="2:3">
      <c r="B38">
        <v>8581</v>
      </c>
      <c r="C38" t="str">
        <f t="shared" si="0"/>
        <v>ↅ</v>
      </c>
    </row>
    <row r="39" spans="2:3">
      <c r="B39">
        <v>8582</v>
      </c>
      <c r="C39" t="str">
        <f t="shared" si="0"/>
        <v>ↆ</v>
      </c>
    </row>
    <row r="40" spans="2:3">
      <c r="B40">
        <v>8583</v>
      </c>
      <c r="C40" t="str">
        <f t="shared" si="0"/>
        <v>ↇ</v>
      </c>
    </row>
    <row r="41" spans="2:3">
      <c r="B41">
        <v>8584</v>
      </c>
      <c r="C41" t="str">
        <f t="shared" si="0"/>
        <v>ↈ</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419E-9670-41DB-993D-2EFF4F021021}">
  <sheetPr codeName="Sheet636"/>
  <dimension ref="A1:B8"/>
  <sheetViews>
    <sheetView workbookViewId="0">
      <selection activeCell="B2" sqref="B2"/>
    </sheetView>
  </sheetViews>
  <sheetFormatPr defaultRowHeight="14.4"/>
  <cols>
    <col min="1" max="1" width="32.5546875" bestFit="1" customWidth="1"/>
    <col min="2" max="2" width="55.5546875" bestFit="1" customWidth="1"/>
  </cols>
  <sheetData>
    <row r="1" spans="1:2">
      <c r="A1" s="1" t="s">
        <v>5009</v>
      </c>
      <c r="B1" s="1" t="s">
        <v>5015</v>
      </c>
    </row>
    <row r="2" spans="1:2">
      <c r="A2" s="55" t="s">
        <v>5010</v>
      </c>
      <c r="B2" s="7" t="str">
        <f>IF(_xlfn.UNICODE(LEFT(A2))&gt;=8544,IF(_xlfn.UNICODE(LEFT(A2))&lt;=8584,SUBSTITUTE(A2,LEFT(A2),"")),A2)</f>
        <v>Earn the right degree.</v>
      </c>
    </row>
    <row r="3" spans="1:2">
      <c r="A3" s="55" t="s">
        <v>5011</v>
      </c>
      <c r="B3" s="7" t="str">
        <f t="shared" ref="B3:B6" si="0">IF(_xlfn.UNICODE(LEFT(A3))&gt;=8544,IF(_xlfn.UNICODE(LEFT(A3))&lt;=8584,SUBSTITUTE(A3,LEFT(A3),"")),A3)</f>
        <v>Serve as an intern.</v>
      </c>
    </row>
    <row r="4" spans="1:2">
      <c r="A4" s="55" t="s">
        <v>5012</v>
      </c>
      <c r="B4" s="7" t="str">
        <f t="shared" si="0"/>
        <v>Obtain certifications and licenses.</v>
      </c>
    </row>
    <row r="5" spans="1:2">
      <c r="A5" s="55" t="s">
        <v>5013</v>
      </c>
      <c r="B5" s="7" t="str">
        <f t="shared" si="0"/>
        <v>Land an entry level job.</v>
      </c>
    </row>
    <row r="6" spans="1:2">
      <c r="A6" s="55" t="s">
        <v>5014</v>
      </c>
      <c r="B6" s="7" t="str">
        <f t="shared" si="0"/>
        <v>Return to school.</v>
      </c>
    </row>
    <row r="8" spans="1:2">
      <c r="B8" s="6"/>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DD65-19C9-4251-95AE-1ADAB24A4F61}">
  <sheetPr codeName="Sheet637"/>
  <dimension ref="A1:B7"/>
  <sheetViews>
    <sheetView workbookViewId="0"/>
  </sheetViews>
  <sheetFormatPr defaultRowHeight="14.4"/>
  <cols>
    <col min="1" max="1" width="29.33203125" bestFit="1" customWidth="1"/>
    <col min="2" max="2" width="12.88671875" bestFit="1" customWidth="1"/>
  </cols>
  <sheetData>
    <row r="1" spans="1:2">
      <c r="A1" s="1" t="s">
        <v>1633</v>
      </c>
      <c r="B1" s="1" t="s">
        <v>4979</v>
      </c>
    </row>
    <row r="2" spans="1:2">
      <c r="A2" s="5" t="s">
        <v>5016</v>
      </c>
      <c r="B2" s="7">
        <v>84</v>
      </c>
    </row>
    <row r="3" spans="1:2">
      <c r="A3" s="2" t="s">
        <v>5017</v>
      </c>
      <c r="B3" s="7">
        <v>9823</v>
      </c>
    </row>
    <row r="4" spans="1:2">
      <c r="A4" s="2" t="s">
        <v>5018</v>
      </c>
      <c r="B4" s="7">
        <v>128630</v>
      </c>
    </row>
    <row r="5" spans="1:2">
      <c r="A5" s="2" t="s">
        <v>5019</v>
      </c>
      <c r="B5" s="7">
        <v>8660</v>
      </c>
    </row>
    <row r="6" spans="1:2">
      <c r="A6" s="2" t="s">
        <v>5020</v>
      </c>
      <c r="B6" s="7">
        <v>67</v>
      </c>
    </row>
    <row r="7" spans="1:2">
      <c r="A7" s="2" t="s">
        <v>5021</v>
      </c>
      <c r="B7" s="7">
        <v>99</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30EE-12E2-4A42-8BD8-BA38662B306D}">
  <sheetPr codeName="Sheet638"/>
  <dimension ref="A1:E10"/>
  <sheetViews>
    <sheetView workbookViewId="0">
      <selection activeCell="B2" sqref="B2"/>
    </sheetView>
  </sheetViews>
  <sheetFormatPr defaultRowHeight="14.4"/>
  <cols>
    <col min="1" max="1" width="10.88671875" bestFit="1" customWidth="1"/>
    <col min="2" max="2" width="26.44140625" bestFit="1" customWidth="1"/>
    <col min="3" max="3" width="19.88671875" bestFit="1" customWidth="1"/>
  </cols>
  <sheetData>
    <row r="1" spans="1:5">
      <c r="A1" s="1" t="s">
        <v>2422</v>
      </c>
      <c r="B1" s="1" t="s">
        <v>5023</v>
      </c>
      <c r="C1" s="1" t="s">
        <v>1145</v>
      </c>
    </row>
    <row r="2" spans="1:5">
      <c r="A2" s="2">
        <v>1.43</v>
      </c>
      <c r="B2" s="323">
        <f>A2</f>
        <v>1.43</v>
      </c>
      <c r="C2" s="65" t="s">
        <v>5024</v>
      </c>
    </row>
    <row r="3" spans="1:5">
      <c r="A3" s="2">
        <v>25.48</v>
      </c>
      <c r="B3" s="323">
        <f t="shared" ref="B3:B7" si="0">A3</f>
        <v>25.48</v>
      </c>
      <c r="C3" s="65" t="s">
        <v>5025</v>
      </c>
    </row>
    <row r="4" spans="1:5">
      <c r="A4" s="2">
        <v>100</v>
      </c>
      <c r="B4" s="323">
        <f t="shared" si="0"/>
        <v>100</v>
      </c>
      <c r="C4" s="65" t="s">
        <v>5026</v>
      </c>
    </row>
    <row r="5" spans="1:5">
      <c r="A5" s="2">
        <v>100.312</v>
      </c>
      <c r="B5" s="323">
        <f t="shared" si="0"/>
        <v>100.312</v>
      </c>
      <c r="C5" s="65" t="s">
        <v>5027</v>
      </c>
    </row>
    <row r="6" spans="1:5">
      <c r="A6" s="2">
        <v>2539.1759999999999</v>
      </c>
      <c r="B6" s="323">
        <f t="shared" si="0"/>
        <v>2539.1759999999999</v>
      </c>
      <c r="C6" s="65" t="s">
        <v>5028</v>
      </c>
    </row>
    <row r="7" spans="1:5">
      <c r="A7" s="2">
        <v>87356.472999999998</v>
      </c>
      <c r="B7" s="323">
        <f t="shared" si="0"/>
        <v>87356.472999999998</v>
      </c>
      <c r="C7" s="65" t="s">
        <v>5029</v>
      </c>
    </row>
    <row r="10" spans="1:5">
      <c r="E10" s="324"/>
    </row>
  </sheetData>
  <pageMargins left="0.7" right="0.7" top="0.75" bottom="0.75" header="0.3" footer="0.3"/>
  <pageSetup orientation="portrait" horizontalDpi="4294967293" verticalDpi="0" r:id="rId1"/>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5BC6-CC8A-405B-A2F8-0C429A47535B}">
  <sheetPr codeName="Sheet639"/>
  <dimension ref="A1:B6"/>
  <sheetViews>
    <sheetView workbookViewId="0">
      <selection activeCell="B2" sqref="B2"/>
    </sheetView>
  </sheetViews>
  <sheetFormatPr defaultRowHeight="14.4"/>
  <cols>
    <col min="1" max="1" width="11.88671875" bestFit="1" customWidth="1"/>
    <col min="2" max="2" width="23" bestFit="1" customWidth="1"/>
  </cols>
  <sheetData>
    <row r="1" spans="1:2">
      <c r="A1" s="1" t="s">
        <v>153</v>
      </c>
      <c r="B1" s="1" t="s">
        <v>5030</v>
      </c>
    </row>
    <row r="2" spans="1:2">
      <c r="A2" s="2">
        <v>1.54</v>
      </c>
      <c r="B2" s="323">
        <f>A2</f>
        <v>1.54</v>
      </c>
    </row>
    <row r="3" spans="1:2">
      <c r="A3" s="2">
        <v>10.56</v>
      </c>
      <c r="B3" s="323">
        <f t="shared" ref="B3:B6" si="0">A3</f>
        <v>10.56</v>
      </c>
    </row>
    <row r="4" spans="1:2">
      <c r="A4" s="2">
        <v>100.57</v>
      </c>
      <c r="B4" s="323">
        <f t="shared" si="0"/>
        <v>100.57</v>
      </c>
    </row>
    <row r="5" spans="1:2">
      <c r="A5" s="2">
        <v>1000.58</v>
      </c>
      <c r="B5" s="323">
        <f t="shared" si="0"/>
        <v>1000.58</v>
      </c>
    </row>
    <row r="6" spans="1:2">
      <c r="A6" s="2">
        <v>10000.59</v>
      </c>
      <c r="B6" s="323">
        <f t="shared" si="0"/>
        <v>10000.59</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871C-84F0-4B1D-81C5-68670F1DBE3C}">
  <sheetPr codeName="Sheet640"/>
  <dimension ref="A1:C11"/>
  <sheetViews>
    <sheetView workbookViewId="0">
      <selection activeCell="B2" sqref="B2"/>
    </sheetView>
  </sheetViews>
  <sheetFormatPr defaultRowHeight="14.4"/>
  <cols>
    <col min="1" max="1" width="7.5546875" bestFit="1" customWidth="1"/>
    <col min="2" max="2" width="13.109375" bestFit="1" customWidth="1"/>
    <col min="3" max="3" width="28.44140625" bestFit="1" customWidth="1"/>
  </cols>
  <sheetData>
    <row r="1" spans="1:3">
      <c r="A1" s="1" t="s">
        <v>130</v>
      </c>
      <c r="B1" s="1" t="s">
        <v>5031</v>
      </c>
      <c r="C1" s="1" t="s">
        <v>5032</v>
      </c>
    </row>
    <row r="2" spans="1:3">
      <c r="A2" s="2" t="s">
        <v>3983</v>
      </c>
      <c r="B2" s="2">
        <v>1.3</v>
      </c>
      <c r="C2" s="325">
        <f>B2</f>
        <v>1.3</v>
      </c>
    </row>
    <row r="3" spans="1:3">
      <c r="A3" s="2" t="s">
        <v>3984</v>
      </c>
      <c r="B3" s="2">
        <v>2.5</v>
      </c>
      <c r="C3" s="325">
        <f t="shared" ref="C3:C11" si="0">B3</f>
        <v>2.5</v>
      </c>
    </row>
    <row r="4" spans="1:3">
      <c r="A4" s="2" t="s">
        <v>3985</v>
      </c>
      <c r="B4" s="2">
        <v>4.7</v>
      </c>
      <c r="C4" s="325">
        <f t="shared" si="0"/>
        <v>4.7</v>
      </c>
    </row>
    <row r="5" spans="1:3">
      <c r="A5" s="2" t="s">
        <v>3986</v>
      </c>
      <c r="B5" s="2">
        <v>1.8</v>
      </c>
      <c r="C5" s="325">
        <f t="shared" si="0"/>
        <v>1.8</v>
      </c>
    </row>
    <row r="6" spans="1:3">
      <c r="A6" s="2" t="s">
        <v>3987</v>
      </c>
      <c r="B6" s="2">
        <v>8.4</v>
      </c>
      <c r="C6" s="325">
        <f t="shared" si="0"/>
        <v>8.4</v>
      </c>
    </row>
    <row r="7" spans="1:3">
      <c r="A7" s="2" t="s">
        <v>3988</v>
      </c>
      <c r="B7" s="2">
        <v>5.2</v>
      </c>
      <c r="C7" s="325">
        <f t="shared" si="0"/>
        <v>5.2</v>
      </c>
    </row>
    <row r="8" spans="1:3">
      <c r="A8" s="2" t="s">
        <v>3989</v>
      </c>
      <c r="B8" s="2">
        <v>6.3</v>
      </c>
      <c r="C8" s="325">
        <f t="shared" si="0"/>
        <v>6.3</v>
      </c>
    </row>
    <row r="9" spans="1:3">
      <c r="A9" s="2" t="s">
        <v>3990</v>
      </c>
      <c r="B9" s="2">
        <v>7.1</v>
      </c>
      <c r="C9" s="325">
        <f t="shared" si="0"/>
        <v>7.1</v>
      </c>
    </row>
    <row r="10" spans="1:3">
      <c r="A10" s="2" t="s">
        <v>3991</v>
      </c>
      <c r="B10" s="2">
        <v>4.5999999999999996</v>
      </c>
      <c r="C10" s="325">
        <f t="shared" si="0"/>
        <v>4.5999999999999996</v>
      </c>
    </row>
    <row r="11" spans="1:3">
      <c r="A11" s="2" t="s">
        <v>3992</v>
      </c>
      <c r="B11" s="2">
        <v>5.5</v>
      </c>
      <c r="C11" s="325">
        <f t="shared" si="0"/>
        <v>5.5</v>
      </c>
    </row>
  </sheetData>
  <pageMargins left="0.7" right="0.7" top="0.75" bottom="0.75" header="0.3" footer="0.3"/>
  <pageSetup orientation="portrait" horizontalDpi="4294967293" verticalDpi="0" r:id="rId1"/>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8F0E-0778-4A46-84B3-F5D6EC5B9A21}">
  <sheetPr codeName="Sheet641"/>
  <dimension ref="A1:T9"/>
  <sheetViews>
    <sheetView workbookViewId="0">
      <selection activeCell="B2" sqref="B2"/>
    </sheetView>
  </sheetViews>
  <sheetFormatPr defaultRowHeight="14.4"/>
  <cols>
    <col min="1" max="2" width="8.88671875" bestFit="1" customWidth="1"/>
  </cols>
  <sheetData>
    <row r="1" spans="1:20">
      <c r="A1" s="1" t="s">
        <v>3497</v>
      </c>
      <c r="B1" s="1" t="s">
        <v>3498</v>
      </c>
      <c r="C1" s="1" t="s">
        <v>4899</v>
      </c>
      <c r="R1" s="1" t="s">
        <v>5033</v>
      </c>
      <c r="S1" s="1" t="s">
        <v>5034</v>
      </c>
      <c r="T1" s="1" t="s">
        <v>4899</v>
      </c>
    </row>
    <row r="2" spans="1:20">
      <c r="A2" s="327">
        <v>1.58</v>
      </c>
      <c r="B2" s="327">
        <v>1.65</v>
      </c>
      <c r="C2" s="326">
        <f>A2+B2</f>
        <v>3.23</v>
      </c>
      <c r="R2" s="285">
        <v>1.58</v>
      </c>
      <c r="S2" s="285">
        <v>1.65</v>
      </c>
      <c r="T2" s="236">
        <f>R2+S2</f>
        <v>3.23</v>
      </c>
    </row>
    <row r="3" spans="1:20">
      <c r="A3" s="327">
        <v>2.4900000000000002</v>
      </c>
      <c r="B3" s="327">
        <v>5.88</v>
      </c>
      <c r="C3" s="326">
        <f t="shared" ref="C3:C5" si="0">A3+B3</f>
        <v>8.370000000000001</v>
      </c>
      <c r="R3" s="285">
        <v>2.4900000000000002</v>
      </c>
      <c r="S3" s="285">
        <v>5.88</v>
      </c>
      <c r="T3" s="236">
        <f>R3+S3</f>
        <v>8.370000000000001</v>
      </c>
    </row>
    <row r="4" spans="1:20">
      <c r="A4" s="327">
        <v>5.68</v>
      </c>
      <c r="B4" s="327">
        <v>11.94</v>
      </c>
      <c r="C4" s="326">
        <f t="shared" si="0"/>
        <v>17.619999999999997</v>
      </c>
      <c r="R4" s="285">
        <v>5.68</v>
      </c>
      <c r="S4" s="285">
        <v>11.94</v>
      </c>
      <c r="T4" s="236">
        <f t="shared" ref="T4:T6" si="1">R4+S4</f>
        <v>17.619999999999997</v>
      </c>
    </row>
    <row r="5" spans="1:20">
      <c r="A5" s="327">
        <v>7.47</v>
      </c>
      <c r="B5" s="327">
        <v>5.77</v>
      </c>
      <c r="C5" s="326">
        <f t="shared" si="0"/>
        <v>13.239999999999998</v>
      </c>
      <c r="R5" s="285">
        <v>7.47</v>
      </c>
      <c r="S5" s="285">
        <v>5.77</v>
      </c>
      <c r="T5" s="236">
        <f t="shared" si="1"/>
        <v>13.239999999999998</v>
      </c>
    </row>
    <row r="6" spans="1:20">
      <c r="A6" s="327">
        <v>3.48</v>
      </c>
      <c r="B6" s="327">
        <v>2.94</v>
      </c>
      <c r="C6" s="326">
        <f>A6+B6</f>
        <v>6.42</v>
      </c>
      <c r="R6" s="285">
        <v>3.48</v>
      </c>
      <c r="S6" s="285">
        <v>2.94</v>
      </c>
      <c r="T6" s="236">
        <f t="shared" si="1"/>
        <v>6.42</v>
      </c>
    </row>
    <row r="9" spans="1:20">
      <c r="R9" t="s">
        <v>5035</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EA55-9B0C-4FA3-BB47-8ED3450ED8E5}">
  <sheetPr codeName="Sheet642"/>
  <dimension ref="A1:G6"/>
  <sheetViews>
    <sheetView workbookViewId="0">
      <selection activeCell="B2" sqref="B2"/>
    </sheetView>
  </sheetViews>
  <sheetFormatPr defaultRowHeight="14.4"/>
  <cols>
    <col min="1" max="2" width="12.109375" bestFit="1" customWidth="1"/>
    <col min="3" max="3" width="14.109375" bestFit="1" customWidth="1"/>
    <col min="4" max="4" width="52.88671875" bestFit="1" customWidth="1"/>
  </cols>
  <sheetData>
    <row r="1" spans="1:7">
      <c r="A1" s="1" t="s">
        <v>5036</v>
      </c>
      <c r="B1" s="1" t="s">
        <v>5037</v>
      </c>
      <c r="C1" s="1" t="s">
        <v>5045</v>
      </c>
      <c r="D1" s="1" t="s">
        <v>664</v>
      </c>
    </row>
    <row r="2" spans="1:7">
      <c r="A2" s="2" t="s">
        <v>5038</v>
      </c>
      <c r="B2" s="2" t="s">
        <v>5039</v>
      </c>
      <c r="C2" s="2">
        <v>269.5</v>
      </c>
      <c r="D2" s="7" t="str">
        <f>"The distance between "&amp;A2&amp;" and "&amp;B2&amp;" is "&amp;TEXT(C2,"# ?/?")&amp;" miles."</f>
        <v>The distance between St. Paul and Madison is 269 1/2 miles.</v>
      </c>
    </row>
    <row r="3" spans="1:7">
      <c r="A3" s="2" t="s">
        <v>5040</v>
      </c>
      <c r="B3" s="2" t="s">
        <v>1333</v>
      </c>
      <c r="C3" s="2">
        <v>248.8</v>
      </c>
      <c r="D3" s="7" t="str">
        <f t="shared" ref="D3:D6" si="0">"The distance between "&amp;A3&amp;" and "&amp;B3&amp;" is "&amp;TEXT(C3,"# ?/?")&amp;" miles."</f>
        <v>The distance between Nashville and Atlanta is 248 4/5 miles.</v>
      </c>
    </row>
    <row r="4" spans="1:7">
      <c r="A4" s="2" t="s">
        <v>4233</v>
      </c>
      <c r="B4" s="2" t="s">
        <v>5041</v>
      </c>
      <c r="C4" s="2">
        <v>171.7</v>
      </c>
      <c r="D4" s="7" t="str">
        <f t="shared" si="0"/>
        <v>The distance between Richmond and Raleigh is 171 2/3 miles.</v>
      </c>
      <c r="G4" s="324"/>
    </row>
    <row r="5" spans="1:7">
      <c r="A5" s="2" t="s">
        <v>5042</v>
      </c>
      <c r="B5" s="2" t="s">
        <v>5043</v>
      </c>
      <c r="C5" s="2">
        <v>705.4</v>
      </c>
      <c r="D5" s="7" t="str">
        <f t="shared" si="0"/>
        <v>The distance between Salem and Helena is 705 2/5 miles.</v>
      </c>
    </row>
    <row r="6" spans="1:7">
      <c r="A6" s="2" t="s">
        <v>1327</v>
      </c>
      <c r="B6" s="2" t="s">
        <v>5044</v>
      </c>
      <c r="C6" s="2">
        <v>321.89999999999998</v>
      </c>
      <c r="D6" s="7" t="str">
        <f t="shared" si="0"/>
        <v>The distance between Denver and Nebraska is 321 8/9 miles.</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F176-7B50-4576-85D3-0888164C21C8}">
  <sheetPr codeName="Sheet643"/>
  <dimension ref="B2:D7"/>
  <sheetViews>
    <sheetView workbookViewId="0">
      <selection activeCell="B2" sqref="B2"/>
    </sheetView>
  </sheetViews>
  <sheetFormatPr defaultRowHeight="14.4"/>
  <sheetData>
    <row r="2" spans="2:4">
      <c r="B2" s="1" t="s">
        <v>9</v>
      </c>
      <c r="C2" s="1" t="s">
        <v>10</v>
      </c>
      <c r="D2" s="1" t="s">
        <v>201</v>
      </c>
    </row>
    <row r="3" spans="2:4">
      <c r="B3" s="2">
        <v>5</v>
      </c>
      <c r="C3" s="114">
        <v>4.87</v>
      </c>
      <c r="D3" s="323">
        <f>B3*C3</f>
        <v>24.35</v>
      </c>
    </row>
    <row r="4" spans="2:4">
      <c r="B4" s="2">
        <v>10</v>
      </c>
      <c r="C4" s="114">
        <v>3.56</v>
      </c>
      <c r="D4" s="323">
        <f t="shared" ref="D4:D7" si="0">B4*C4</f>
        <v>35.6</v>
      </c>
    </row>
    <row r="5" spans="2:4">
      <c r="B5" s="2">
        <v>0</v>
      </c>
      <c r="C5" s="114">
        <v>9.44</v>
      </c>
      <c r="D5" s="323">
        <f t="shared" si="0"/>
        <v>0</v>
      </c>
    </row>
    <row r="6" spans="2:4">
      <c r="B6" s="2">
        <v>3</v>
      </c>
      <c r="C6" s="114">
        <v>10.71</v>
      </c>
      <c r="D6" s="323">
        <f t="shared" si="0"/>
        <v>32.130000000000003</v>
      </c>
    </row>
    <row r="7" spans="2:4">
      <c r="B7" s="2">
        <v>4</v>
      </c>
      <c r="C7" s="114">
        <v>6.29</v>
      </c>
      <c r="D7" s="323">
        <f t="shared" si="0"/>
        <v>25.16</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429F-B073-41BE-8AEE-2956271D2822}">
  <sheetPr codeName="Sheet644"/>
  <dimension ref="A1:E7"/>
  <sheetViews>
    <sheetView workbookViewId="0">
      <selection activeCell="E16" sqref="E16"/>
    </sheetView>
  </sheetViews>
  <sheetFormatPr defaultRowHeight="14.4"/>
  <cols>
    <col min="2" max="2" width="26.6640625" bestFit="1" customWidth="1"/>
    <col min="3" max="3" width="25.88671875" bestFit="1" customWidth="1"/>
    <col min="4" max="4" width="29.109375" bestFit="1" customWidth="1"/>
    <col min="5" max="5" width="62.5546875" bestFit="1" customWidth="1"/>
  </cols>
  <sheetData>
    <row r="1" spans="1:5">
      <c r="A1" s="1" t="s">
        <v>5048</v>
      </c>
      <c r="B1" s="1" t="s">
        <v>5046</v>
      </c>
      <c r="C1" s="1" t="s">
        <v>5047</v>
      </c>
      <c r="D1" s="1" t="s">
        <v>5061</v>
      </c>
      <c r="E1" s="1" t="s">
        <v>1977</v>
      </c>
    </row>
    <row r="2" spans="1:5">
      <c r="A2" s="2" t="s">
        <v>5049</v>
      </c>
      <c r="B2" s="2">
        <v>46</v>
      </c>
      <c r="C2" s="2">
        <v>50</v>
      </c>
      <c r="D2" s="7" t="str">
        <f>IF(AND(B2&gt;=45,C2&gt;=45),"Qualified","Not Qualified")</f>
        <v>Qualified</v>
      </c>
      <c r="E2" s="65" t="s">
        <v>5055</v>
      </c>
    </row>
    <row r="3" spans="1:5">
      <c r="A3" s="2" t="s">
        <v>5050</v>
      </c>
      <c r="B3" s="2">
        <v>40</v>
      </c>
      <c r="C3" s="2">
        <v>30</v>
      </c>
      <c r="D3" s="7" t="str">
        <f t="shared" ref="D3:D7" si="0">IF(AND(B3&gt;=45,C3&gt;=45),"Qualified","Not Qualified")</f>
        <v>Not Qualified</v>
      </c>
      <c r="E3" s="65" t="s">
        <v>5056</v>
      </c>
    </row>
    <row r="4" spans="1:5">
      <c r="A4" s="2" t="s">
        <v>5051</v>
      </c>
      <c r="B4" s="2">
        <v>35</v>
      </c>
      <c r="C4" s="2">
        <v>44</v>
      </c>
      <c r="D4" s="7" t="str">
        <f t="shared" si="0"/>
        <v>Not Qualified</v>
      </c>
      <c r="E4" s="65" t="s">
        <v>5057</v>
      </c>
    </row>
    <row r="5" spans="1:5">
      <c r="A5" s="2" t="s">
        <v>5052</v>
      </c>
      <c r="B5" s="2">
        <v>50</v>
      </c>
      <c r="C5" s="2">
        <v>50</v>
      </c>
      <c r="D5" s="7" t="str">
        <f t="shared" si="0"/>
        <v>Qualified</v>
      </c>
      <c r="E5" s="65" t="s">
        <v>5058</v>
      </c>
    </row>
    <row r="6" spans="1:5">
      <c r="A6" s="2" t="s">
        <v>5053</v>
      </c>
      <c r="B6" s="2">
        <v>45</v>
      </c>
      <c r="C6" s="2">
        <v>45</v>
      </c>
      <c r="D6" s="7" t="str">
        <f t="shared" si="0"/>
        <v>Qualified</v>
      </c>
      <c r="E6" s="65" t="s">
        <v>5059</v>
      </c>
    </row>
    <row r="7" spans="1:5">
      <c r="A7" s="2" t="s">
        <v>5054</v>
      </c>
      <c r="B7" s="2">
        <v>48</v>
      </c>
      <c r="C7" s="2">
        <v>35</v>
      </c>
      <c r="D7" s="7" t="str">
        <f t="shared" si="0"/>
        <v>Not Qualified</v>
      </c>
      <c r="E7" s="65" t="s">
        <v>5060</v>
      </c>
    </row>
  </sheetData>
  <pageMargins left="0.7" right="0.7" top="0.75" bottom="0.75" header="0.3" footer="0.3"/>
  <pageSetup orientation="portrait" horizontalDpi="4294967293" verticalDpi="0" r:id="rId1"/>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2CD4-2814-4127-A7C6-81B2DFBE687C}">
  <sheetPr codeName="Sheet645"/>
  <dimension ref="A1:E7"/>
  <sheetViews>
    <sheetView workbookViewId="0">
      <selection activeCell="E16" sqref="E16"/>
    </sheetView>
  </sheetViews>
  <sheetFormatPr defaultRowHeight="14.4"/>
  <cols>
    <col min="1" max="1" width="6.88671875" customWidth="1"/>
    <col min="2" max="2" width="22" bestFit="1" customWidth="1"/>
    <col min="3" max="3" width="23.33203125" bestFit="1" customWidth="1"/>
    <col min="4" max="4" width="17.5546875" bestFit="1" customWidth="1"/>
    <col min="5" max="5" width="12.33203125" customWidth="1"/>
  </cols>
  <sheetData>
    <row r="1" spans="1:5">
      <c r="A1" s="1" t="s">
        <v>130</v>
      </c>
      <c r="B1" s="1" t="s">
        <v>5062</v>
      </c>
      <c r="C1" s="1" t="s">
        <v>5063</v>
      </c>
      <c r="D1" s="1" t="s">
        <v>4035</v>
      </c>
      <c r="E1" s="1" t="s">
        <v>3110</v>
      </c>
    </row>
    <row r="2" spans="1:5">
      <c r="A2" s="2" t="s">
        <v>3983</v>
      </c>
      <c r="B2" s="2">
        <v>2000</v>
      </c>
      <c r="C2" s="2">
        <v>2500</v>
      </c>
      <c r="D2" s="20">
        <v>44571</v>
      </c>
      <c r="E2" s="7" t="str">
        <f>IF(AND(C2&gt;=B2,MONTH(D2)&lt;4),"Complete","Pending")</f>
        <v>Complete</v>
      </c>
    </row>
    <row r="3" spans="1:5">
      <c r="A3" s="2" t="s">
        <v>3984</v>
      </c>
      <c r="B3" s="2">
        <v>900</v>
      </c>
      <c r="C3" s="2">
        <v>800</v>
      </c>
      <c r="D3" s="20">
        <v>44607</v>
      </c>
      <c r="E3" s="7" t="str">
        <f t="shared" ref="E3:E7" si="0">IF(AND(C3&gt;=B3,MONTH(D3)&lt;4),"Complete","Pending")</f>
        <v>Pending</v>
      </c>
    </row>
    <row r="4" spans="1:5">
      <c r="A4" s="2" t="s">
        <v>3985</v>
      </c>
      <c r="B4" s="2">
        <v>2100</v>
      </c>
      <c r="C4" s="2">
        <v>2800</v>
      </c>
      <c r="D4" s="20">
        <v>44640</v>
      </c>
      <c r="E4" s="7" t="str">
        <f t="shared" si="0"/>
        <v>Complete</v>
      </c>
    </row>
    <row r="5" spans="1:5">
      <c r="A5" s="2" t="s">
        <v>3986</v>
      </c>
      <c r="B5" s="2">
        <v>1000</v>
      </c>
      <c r="C5" s="2">
        <v>1000</v>
      </c>
      <c r="D5" s="20">
        <v>44650</v>
      </c>
      <c r="E5" s="7" t="str">
        <f t="shared" si="0"/>
        <v>Complete</v>
      </c>
    </row>
    <row r="6" spans="1:5">
      <c r="A6" s="2" t="s">
        <v>3987</v>
      </c>
      <c r="B6" s="2">
        <v>2500</v>
      </c>
      <c r="C6" s="2">
        <v>2200</v>
      </c>
      <c r="D6" s="20">
        <v>44652</v>
      </c>
      <c r="E6" s="7" t="str">
        <f t="shared" si="0"/>
        <v>Pending</v>
      </c>
    </row>
    <row r="7" spans="1:5">
      <c r="A7" s="2" t="s">
        <v>3988</v>
      </c>
      <c r="B7" s="2">
        <v>950</v>
      </c>
      <c r="C7" s="2">
        <v>900</v>
      </c>
      <c r="D7" s="20">
        <v>44686</v>
      </c>
      <c r="E7" s="7" t="str">
        <f t="shared" si="0"/>
        <v>Pending</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1F91-E7B8-45FC-8DFB-76B6DFB23508}">
  <sheetPr codeName="Sheet646"/>
  <dimension ref="A1:C7"/>
  <sheetViews>
    <sheetView workbookViewId="0">
      <selection activeCell="E16" sqref="E16"/>
    </sheetView>
  </sheetViews>
  <sheetFormatPr defaultRowHeight="14.4"/>
  <cols>
    <col min="1" max="1" width="11.6640625" bestFit="1" customWidth="1"/>
    <col min="2" max="2" width="12.44140625" bestFit="1" customWidth="1"/>
    <col min="3" max="3" width="19.109375" bestFit="1" customWidth="1"/>
  </cols>
  <sheetData>
    <row r="1" spans="1:3">
      <c r="A1" s="1" t="s">
        <v>3486</v>
      </c>
      <c r="B1" s="1" t="s">
        <v>5064</v>
      </c>
      <c r="C1" s="1" t="s">
        <v>4425</v>
      </c>
    </row>
    <row r="2" spans="1:3">
      <c r="A2" s="2" t="s">
        <v>5065</v>
      </c>
      <c r="B2" s="53">
        <v>50</v>
      </c>
      <c r="C2" s="67">
        <f>IF(AND(A2="Gap",B2&lt;30),B2*20%,B2*5%)</f>
        <v>2.5</v>
      </c>
    </row>
    <row r="3" spans="1:3">
      <c r="A3" s="2" t="s">
        <v>5066</v>
      </c>
      <c r="B3" s="53">
        <v>100</v>
      </c>
      <c r="C3" s="67">
        <f t="shared" ref="C3:C7" si="0">IF(AND(A3="Gap",B3&lt;30),B3*20%,B3*5%)</f>
        <v>5</v>
      </c>
    </row>
    <row r="4" spans="1:3">
      <c r="A4" s="2" t="s">
        <v>5067</v>
      </c>
      <c r="B4" s="53">
        <v>20</v>
      </c>
      <c r="C4" s="67">
        <f t="shared" si="0"/>
        <v>4</v>
      </c>
    </row>
    <row r="5" spans="1:3">
      <c r="A5" s="2" t="s">
        <v>5066</v>
      </c>
      <c r="B5" s="53">
        <v>110</v>
      </c>
      <c r="C5" s="67">
        <f t="shared" si="0"/>
        <v>5.5</v>
      </c>
    </row>
    <row r="6" spans="1:3">
      <c r="A6" s="2" t="s">
        <v>5065</v>
      </c>
      <c r="B6" s="53">
        <v>55</v>
      </c>
      <c r="C6" s="67">
        <f t="shared" si="0"/>
        <v>2.75</v>
      </c>
    </row>
    <row r="7" spans="1:3">
      <c r="A7" s="2" t="s">
        <v>5067</v>
      </c>
      <c r="B7" s="53">
        <v>25</v>
      </c>
      <c r="C7" s="67">
        <f t="shared" si="0"/>
        <v>5</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801F-CF04-4EEF-B1BB-5C9F2E034837}">
  <sheetPr codeName="Sheet647"/>
  <dimension ref="A1:E11"/>
  <sheetViews>
    <sheetView workbookViewId="0">
      <selection activeCell="E16" sqref="E16"/>
    </sheetView>
  </sheetViews>
  <sheetFormatPr defaultRowHeight="14.4"/>
  <cols>
    <col min="1" max="1" width="15.88671875" bestFit="1" customWidth="1"/>
    <col min="2" max="2" width="25.44140625" bestFit="1" customWidth="1"/>
    <col min="3" max="4" width="16.109375" bestFit="1" customWidth="1"/>
    <col min="5" max="5" width="19.109375" customWidth="1"/>
  </cols>
  <sheetData>
    <row r="1" spans="1:5">
      <c r="A1" s="1" t="s">
        <v>0</v>
      </c>
      <c r="B1" s="1" t="s">
        <v>1027</v>
      </c>
      <c r="C1" s="1" t="s">
        <v>5079</v>
      </c>
      <c r="D1" s="1" t="s">
        <v>5068</v>
      </c>
      <c r="E1" s="1" t="s">
        <v>5080</v>
      </c>
    </row>
    <row r="2" spans="1:5">
      <c r="A2" s="2" t="s">
        <v>5069</v>
      </c>
      <c r="B2" s="2">
        <v>495</v>
      </c>
      <c r="C2" s="2">
        <v>110</v>
      </c>
      <c r="D2" s="2" t="s">
        <v>286</v>
      </c>
      <c r="E2" s="7" t="str">
        <f>IF(AND(B2&gt;=450,C2&gt;=90,D2="Yes"),"Eligible","Not Eligible")</f>
        <v>Eligible</v>
      </c>
    </row>
    <row r="3" spans="1:5">
      <c r="A3" s="2" t="s">
        <v>5070</v>
      </c>
      <c r="B3" s="2">
        <v>450</v>
      </c>
      <c r="C3" s="2">
        <v>108</v>
      </c>
      <c r="D3" s="2" t="s">
        <v>287</v>
      </c>
      <c r="E3" s="7" t="str">
        <f t="shared" ref="E3:E11" si="0">IF(AND(B3&gt;=450,C3&gt;=90,D3="Yes"),"Eligible","Not Eligible")</f>
        <v>Not Eligible</v>
      </c>
    </row>
    <row r="4" spans="1:5">
      <c r="A4" s="2" t="s">
        <v>5071</v>
      </c>
      <c r="B4" s="2">
        <v>410</v>
      </c>
      <c r="C4" s="2">
        <v>90</v>
      </c>
      <c r="D4" s="2" t="s">
        <v>286</v>
      </c>
      <c r="E4" s="7" t="str">
        <f t="shared" si="0"/>
        <v>Not Eligible</v>
      </c>
    </row>
    <row r="5" spans="1:5">
      <c r="A5" s="2" t="s">
        <v>5072</v>
      </c>
      <c r="B5" s="2">
        <v>496</v>
      </c>
      <c r="C5" s="2">
        <v>110</v>
      </c>
      <c r="D5" s="2" t="s">
        <v>286</v>
      </c>
      <c r="E5" s="7" t="str">
        <f t="shared" si="0"/>
        <v>Eligible</v>
      </c>
    </row>
    <row r="6" spans="1:5">
      <c r="A6" s="2" t="s">
        <v>5073</v>
      </c>
      <c r="B6" s="2">
        <v>485</v>
      </c>
      <c r="C6" s="2">
        <v>105</v>
      </c>
      <c r="D6" s="2" t="s">
        <v>287</v>
      </c>
      <c r="E6" s="7" t="str">
        <f t="shared" si="0"/>
        <v>Not Eligible</v>
      </c>
    </row>
    <row r="7" spans="1:5">
      <c r="A7" s="2" t="s">
        <v>5074</v>
      </c>
      <c r="B7" s="2">
        <v>492</v>
      </c>
      <c r="C7" s="2">
        <v>101</v>
      </c>
      <c r="D7" s="2" t="s">
        <v>287</v>
      </c>
      <c r="E7" s="7" t="str">
        <f t="shared" si="0"/>
        <v>Not Eligible</v>
      </c>
    </row>
    <row r="8" spans="1:5">
      <c r="A8" s="2" t="s">
        <v>5075</v>
      </c>
      <c r="B8" s="2">
        <v>480</v>
      </c>
      <c r="C8" s="2">
        <v>95</v>
      </c>
      <c r="D8" s="2" t="s">
        <v>286</v>
      </c>
      <c r="E8" s="7" t="str">
        <f t="shared" si="0"/>
        <v>Eligible</v>
      </c>
    </row>
    <row r="9" spans="1:5">
      <c r="A9" s="2" t="s">
        <v>5076</v>
      </c>
      <c r="B9" s="2">
        <v>463</v>
      </c>
      <c r="C9" s="2">
        <v>90</v>
      </c>
      <c r="D9" s="2" t="s">
        <v>286</v>
      </c>
      <c r="E9" s="7" t="str">
        <f t="shared" si="0"/>
        <v>Eligible</v>
      </c>
    </row>
    <row r="10" spans="1:5">
      <c r="A10" s="2" t="s">
        <v>5077</v>
      </c>
      <c r="B10" s="2">
        <v>440</v>
      </c>
      <c r="C10" s="2">
        <v>99</v>
      </c>
      <c r="D10" s="2" t="s">
        <v>287</v>
      </c>
      <c r="E10" s="7" t="str">
        <f t="shared" si="0"/>
        <v>Not Eligible</v>
      </c>
    </row>
    <row r="11" spans="1:5">
      <c r="A11" s="2" t="s">
        <v>5078</v>
      </c>
      <c r="B11" s="2">
        <v>458</v>
      </c>
      <c r="C11" s="2">
        <v>101</v>
      </c>
      <c r="D11" s="2" t="s">
        <v>286</v>
      </c>
      <c r="E11" s="7" t="str">
        <f t="shared" si="0"/>
        <v>Eligible</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7E31-4E34-4F1A-8A70-87794D75DEC2}">
  <sheetPr codeName="Sheet648"/>
  <dimension ref="A1:D11"/>
  <sheetViews>
    <sheetView workbookViewId="0">
      <selection activeCell="E16" sqref="E16"/>
    </sheetView>
  </sheetViews>
  <sheetFormatPr defaultRowHeight="14.4"/>
  <cols>
    <col min="1" max="1" width="17.88671875" bestFit="1" customWidth="1"/>
    <col min="2" max="2" width="13.88671875" bestFit="1" customWidth="1"/>
    <col min="3" max="3" width="9.44140625" bestFit="1" customWidth="1"/>
    <col min="4" max="4" width="18.88671875" bestFit="1" customWidth="1"/>
  </cols>
  <sheetData>
    <row r="1" spans="1:4">
      <c r="A1" s="1" t="s">
        <v>155</v>
      </c>
      <c r="B1" s="1" t="s">
        <v>369</v>
      </c>
      <c r="C1" s="1" t="s">
        <v>5081</v>
      </c>
      <c r="D1" s="1" t="s">
        <v>1337</v>
      </c>
    </row>
    <row r="2" spans="1:4">
      <c r="A2" s="2" t="s">
        <v>5082</v>
      </c>
      <c r="B2" s="2" t="s">
        <v>382</v>
      </c>
      <c r="C2" s="82">
        <v>0.8</v>
      </c>
      <c r="D2" s="7" t="str">
        <f>IF(AND(B2="Senior Engineer",C2&gt;=95%),"Exceeds Expectations",IF(AND(B2="Senior Engineer",C2&gt;=80%,C2&lt;95%),"Meets Expectations",IF(AND(B2="Senior Engineer",C2&lt;80%),"Under Performer","NA")))</f>
        <v>Meets Expectations</v>
      </c>
    </row>
    <row r="3" spans="1:4">
      <c r="A3" s="2" t="s">
        <v>5083</v>
      </c>
      <c r="B3" s="2" t="s">
        <v>383</v>
      </c>
      <c r="C3" s="82">
        <v>0.95</v>
      </c>
      <c r="D3" s="7" t="str">
        <f t="shared" ref="D3:D11" si="0">IF(AND(B3="Senior Engineer",C3&gt;=95%),"Exceeds Expectations",IF(AND(B3="Senior Engineer",C3&gt;=80%,C3&lt;95%),"Meets Expectations",IF(AND(B3="Senior Engineer",C3&lt;80%),"Under Performer","NA")))</f>
        <v>NA</v>
      </c>
    </row>
    <row r="4" spans="1:4">
      <c r="A4" s="2" t="s">
        <v>5084</v>
      </c>
      <c r="B4" s="2" t="s">
        <v>382</v>
      </c>
      <c r="C4" s="82">
        <v>1</v>
      </c>
      <c r="D4" s="7" t="str">
        <f t="shared" si="0"/>
        <v>Exceeds Expectations</v>
      </c>
    </row>
    <row r="5" spans="1:4">
      <c r="A5" s="2" t="s">
        <v>5085</v>
      </c>
      <c r="B5" s="2" t="s">
        <v>381</v>
      </c>
      <c r="C5" s="82">
        <v>1</v>
      </c>
      <c r="D5" s="7" t="str">
        <f t="shared" si="0"/>
        <v>NA</v>
      </c>
    </row>
    <row r="6" spans="1:4">
      <c r="A6" s="2" t="s">
        <v>5086</v>
      </c>
      <c r="B6" s="2" t="s">
        <v>381</v>
      </c>
      <c r="C6" s="82">
        <v>0.88</v>
      </c>
      <c r="D6" s="7" t="str">
        <f t="shared" si="0"/>
        <v>NA</v>
      </c>
    </row>
    <row r="7" spans="1:4">
      <c r="A7" s="2" t="s">
        <v>5087</v>
      </c>
      <c r="B7" s="2" t="s">
        <v>382</v>
      </c>
      <c r="C7" s="82">
        <v>0.97</v>
      </c>
      <c r="D7" s="7" t="str">
        <f t="shared" si="0"/>
        <v>Exceeds Expectations</v>
      </c>
    </row>
    <row r="8" spans="1:4">
      <c r="A8" s="2" t="s">
        <v>5088</v>
      </c>
      <c r="B8" s="2" t="s">
        <v>382</v>
      </c>
      <c r="C8" s="82">
        <v>0.94</v>
      </c>
      <c r="D8" s="7" t="str">
        <f t="shared" si="0"/>
        <v>Meets Expectations</v>
      </c>
    </row>
    <row r="9" spans="1:4">
      <c r="A9" s="2" t="s">
        <v>5089</v>
      </c>
      <c r="B9" s="2" t="s">
        <v>383</v>
      </c>
      <c r="C9" s="82">
        <v>1</v>
      </c>
      <c r="D9" s="7" t="str">
        <f t="shared" si="0"/>
        <v>NA</v>
      </c>
    </row>
    <row r="10" spans="1:4">
      <c r="A10" s="2" t="s">
        <v>5090</v>
      </c>
      <c r="B10" s="2" t="s">
        <v>382</v>
      </c>
      <c r="C10" s="82">
        <v>0.7</v>
      </c>
      <c r="D10" s="7" t="str">
        <f t="shared" si="0"/>
        <v>Under Performer</v>
      </c>
    </row>
    <row r="11" spans="1:4">
      <c r="A11" s="2" t="s">
        <v>5091</v>
      </c>
      <c r="B11" s="2" t="s">
        <v>382</v>
      </c>
      <c r="C11" s="82">
        <v>0.9</v>
      </c>
      <c r="D11" s="7" t="str">
        <f t="shared" si="0"/>
        <v>Meets Expectations</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BCAC-DF8C-46F7-8445-8CC70DAE4F07}">
  <sheetPr codeName="Sheet649"/>
  <dimension ref="A1:D11"/>
  <sheetViews>
    <sheetView workbookViewId="0"/>
  </sheetViews>
  <sheetFormatPr defaultRowHeight="14.4"/>
  <cols>
    <col min="1" max="1" width="15.44140625" bestFit="1" customWidth="1"/>
    <col min="2" max="2" width="8.88671875" bestFit="1" customWidth="1"/>
    <col min="3" max="3" width="13.44140625" customWidth="1"/>
    <col min="4" max="4" width="15.6640625" bestFit="1" customWidth="1"/>
  </cols>
  <sheetData>
    <row r="1" spans="1:4">
      <c r="A1" s="1" t="s">
        <v>3472</v>
      </c>
      <c r="B1" s="1" t="s">
        <v>136</v>
      </c>
      <c r="C1" s="1" t="s">
        <v>736</v>
      </c>
      <c r="D1" s="1" t="s">
        <v>5092</v>
      </c>
    </row>
    <row r="2" spans="1:4">
      <c r="A2" s="2" t="s">
        <v>5096</v>
      </c>
      <c r="B2" s="53">
        <v>1000</v>
      </c>
      <c r="C2" s="2" t="s">
        <v>5093</v>
      </c>
      <c r="D2" s="7" t="str">
        <f>IF(AND(B2&gt;=500,OR(C2="Black",C2="Platinum Grey",C2="White")),"Available","Not Available")</f>
        <v>Available</v>
      </c>
    </row>
    <row r="3" spans="1:4">
      <c r="A3" s="2" t="s">
        <v>5097</v>
      </c>
      <c r="B3" s="53">
        <v>500</v>
      </c>
      <c r="C3" s="14" t="s">
        <v>5106</v>
      </c>
      <c r="D3" s="7" t="str">
        <f t="shared" ref="D3:D11" si="0">IF(AND(B3&gt;=500,OR(C3="Black",C3="Platinum Grey",C3="White")),"Available","Not Available")</f>
        <v>Available</v>
      </c>
    </row>
    <row r="4" spans="1:4">
      <c r="A4" s="2" t="s">
        <v>5098</v>
      </c>
      <c r="B4" s="53">
        <v>1200</v>
      </c>
      <c r="C4" s="2" t="s">
        <v>742</v>
      </c>
      <c r="D4" s="7" t="str">
        <f t="shared" si="0"/>
        <v>Not Available</v>
      </c>
    </row>
    <row r="5" spans="1:4">
      <c r="A5" s="2" t="s">
        <v>5099</v>
      </c>
      <c r="B5" s="53">
        <v>1500</v>
      </c>
      <c r="C5" s="2" t="s">
        <v>5094</v>
      </c>
      <c r="D5" s="7" t="str">
        <f t="shared" si="0"/>
        <v>Not Available</v>
      </c>
    </row>
    <row r="6" spans="1:4">
      <c r="A6" s="2" t="s">
        <v>5100</v>
      </c>
      <c r="B6" s="53">
        <v>900</v>
      </c>
      <c r="C6" s="2" t="s">
        <v>5093</v>
      </c>
      <c r="D6" s="7" t="str">
        <f t="shared" si="0"/>
        <v>Available</v>
      </c>
    </row>
    <row r="7" spans="1:4">
      <c r="A7" s="2" t="s">
        <v>5101</v>
      </c>
      <c r="B7" s="53">
        <v>950</v>
      </c>
      <c r="C7" s="14" t="s">
        <v>5106</v>
      </c>
      <c r="D7" s="7" t="str">
        <f t="shared" si="0"/>
        <v>Available</v>
      </c>
    </row>
    <row r="8" spans="1:4">
      <c r="A8" s="2" t="s">
        <v>5102</v>
      </c>
      <c r="B8" s="53">
        <v>1050</v>
      </c>
      <c r="C8" s="2" t="s">
        <v>5094</v>
      </c>
      <c r="D8" s="7" t="str">
        <f t="shared" si="0"/>
        <v>Not Available</v>
      </c>
    </row>
    <row r="9" spans="1:4">
      <c r="A9" s="2" t="s">
        <v>5103</v>
      </c>
      <c r="B9" s="53">
        <v>800</v>
      </c>
      <c r="C9" s="2" t="s">
        <v>5095</v>
      </c>
      <c r="D9" s="7" t="str">
        <f t="shared" si="0"/>
        <v>Available</v>
      </c>
    </row>
    <row r="10" spans="1:4">
      <c r="A10" s="2" t="s">
        <v>5104</v>
      </c>
      <c r="B10" s="53">
        <v>490</v>
      </c>
      <c r="C10" s="2" t="s">
        <v>5093</v>
      </c>
      <c r="D10" s="7" t="str">
        <f t="shared" si="0"/>
        <v>Not Available</v>
      </c>
    </row>
    <row r="11" spans="1:4">
      <c r="A11" s="2" t="s">
        <v>5105</v>
      </c>
      <c r="B11" s="53">
        <v>450</v>
      </c>
      <c r="C11" s="2" t="s">
        <v>5095</v>
      </c>
      <c r="D11" s="7" t="str">
        <f t="shared" si="0"/>
        <v>Not Available</v>
      </c>
    </row>
  </sheetData>
  <pageMargins left="0.7" right="0.7" top="0.75" bottom="0.75" header="0.3" footer="0.3"/>
  <pageSetup orientation="portrait" horizontalDpi="4294967293" verticalDpi="0" r:id="rId1"/>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B505C-1AE2-4F40-BC94-AFBA93008D17}">
  <sheetPr codeName="Sheet650"/>
  <dimension ref="A1:C5"/>
  <sheetViews>
    <sheetView workbookViewId="0">
      <selection activeCell="B2" sqref="B2"/>
    </sheetView>
  </sheetViews>
  <sheetFormatPr defaultRowHeight="14.4"/>
  <cols>
    <col min="1" max="1" width="9.88671875" bestFit="1" customWidth="1"/>
    <col min="2" max="2" width="7.88671875" customWidth="1"/>
    <col min="3" max="3" width="31.88671875" bestFit="1" customWidth="1"/>
  </cols>
  <sheetData>
    <row r="1" spans="1:3">
      <c r="A1" s="1" t="s">
        <v>5108</v>
      </c>
      <c r="B1" s="1" t="s">
        <v>5107</v>
      </c>
      <c r="C1" s="1" t="s">
        <v>1145</v>
      </c>
    </row>
    <row r="2" spans="1:3">
      <c r="A2" s="2">
        <v>0.2</v>
      </c>
      <c r="B2" s="328">
        <f>_xlfn.NORM.S.INV(A2)</f>
        <v>-0.84162123357291452</v>
      </c>
      <c r="C2" s="65" t="s">
        <v>5109</v>
      </c>
    </row>
    <row r="3" spans="1:3">
      <c r="A3" s="2">
        <v>0.4</v>
      </c>
      <c r="B3" s="328">
        <f t="shared" ref="B3:B5" si="0">_xlfn.NORM.S.INV(A3)</f>
        <v>-0.25334710313579978</v>
      </c>
      <c r="C3" s="65" t="s">
        <v>5110</v>
      </c>
    </row>
    <row r="4" spans="1:3">
      <c r="A4" s="2">
        <v>0.6</v>
      </c>
      <c r="B4" s="328">
        <f t="shared" si="0"/>
        <v>0.25334710313579978</v>
      </c>
      <c r="C4" s="65" t="s">
        <v>5111</v>
      </c>
    </row>
    <row r="5" spans="1:3">
      <c r="A5" s="2">
        <v>0.8</v>
      </c>
      <c r="B5" s="328">
        <f t="shared" si="0"/>
        <v>0.84162123357291474</v>
      </c>
      <c r="C5" s="65" t="s">
        <v>5112</v>
      </c>
    </row>
  </sheetData>
  <pageMargins left="0.7" right="0.7" top="0.75" bottom="0.75" header="0.3" footer="0.3"/>
  <pageSetup orientation="portrait" horizontalDpi="4294967293" verticalDpi="0" r:id="rId1"/>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4C06-1C9F-40BA-B2D4-C290EB5928FE}">
  <sheetPr codeName="Sheet651"/>
  <dimension ref="B2:C7"/>
  <sheetViews>
    <sheetView workbookViewId="0">
      <selection activeCell="B2" sqref="B2"/>
    </sheetView>
  </sheetViews>
  <sheetFormatPr defaultRowHeight="14.4"/>
  <cols>
    <col min="2" max="2" width="52.109375" bestFit="1" customWidth="1"/>
    <col min="3" max="3" width="7.44140625" customWidth="1"/>
  </cols>
  <sheetData>
    <row r="2" spans="2:3">
      <c r="B2" s="1" t="s">
        <v>5126</v>
      </c>
      <c r="C2" s="1" t="s">
        <v>5107</v>
      </c>
    </row>
    <row r="3" spans="2:3">
      <c r="B3" s="2">
        <v>0.15</v>
      </c>
      <c r="C3" s="328">
        <f>_xlfn.NORM.S.INV(B3)</f>
        <v>-1.0364333894937898</v>
      </c>
    </row>
    <row r="4" spans="2:3">
      <c r="B4" s="2">
        <v>0.25</v>
      </c>
      <c r="C4" s="328">
        <f t="shared" ref="C4:C7" si="0">_xlfn.NORM.S.INV(B4)</f>
        <v>-0.67448975019608193</v>
      </c>
    </row>
    <row r="5" spans="2:3">
      <c r="B5" s="2">
        <v>0.35</v>
      </c>
      <c r="C5" s="328">
        <f t="shared" si="0"/>
        <v>-0.38532046640756784</v>
      </c>
    </row>
    <row r="6" spans="2:3">
      <c r="B6" s="2">
        <v>0.45</v>
      </c>
      <c r="C6" s="328">
        <f t="shared" si="0"/>
        <v>-0.12566134685507402</v>
      </c>
    </row>
    <row r="7" spans="2:3">
      <c r="B7" s="2">
        <v>0.55000000000000004</v>
      </c>
      <c r="C7" s="328">
        <f t="shared" si="0"/>
        <v>0.12566134685507416</v>
      </c>
    </row>
  </sheetData>
  <pageMargins left="0.7" right="0.7" top="0.75" bottom="0.75" header="0.3" footer="0.3"/>
  <pageSetup orientation="portrait" horizontalDpi="4294967293" verticalDpi="0"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F1D0-B3A9-4AEC-ADBD-FCF758791B1B}">
  <sheetPr codeName="Sheet652"/>
  <dimension ref="B2:E6"/>
  <sheetViews>
    <sheetView workbookViewId="0">
      <selection activeCell="B2" sqref="B2"/>
    </sheetView>
  </sheetViews>
  <sheetFormatPr defaultRowHeight="14.4"/>
  <cols>
    <col min="2" max="2" width="6.6640625" bestFit="1" customWidth="1"/>
    <col min="3" max="3" width="24.44140625" bestFit="1" customWidth="1"/>
    <col min="4" max="4" width="37.5546875" bestFit="1" customWidth="1"/>
    <col min="5" max="5" width="20.44140625" bestFit="1" customWidth="1"/>
  </cols>
  <sheetData>
    <row r="2" spans="2:5">
      <c r="B2" s="1" t="s">
        <v>5107</v>
      </c>
      <c r="C2" s="1" t="s">
        <v>5113</v>
      </c>
      <c r="D2" s="1" t="s">
        <v>1570</v>
      </c>
      <c r="E2" s="1" t="s">
        <v>5114</v>
      </c>
    </row>
    <row r="3" spans="2:5">
      <c r="B3" s="2">
        <v>1.1000000000000001</v>
      </c>
      <c r="C3" s="2">
        <f>_xlfn.NORM.S.DIST(B3,TRUE)</f>
        <v>0.86433393905361733</v>
      </c>
      <c r="D3" s="65" t="s">
        <v>5118</v>
      </c>
      <c r="E3" s="7">
        <f>_xlfn.NORM.S.INV(C3)</f>
        <v>1.1000000000000003</v>
      </c>
    </row>
    <row r="4" spans="2:5">
      <c r="B4" s="2">
        <v>2.2000000000000002</v>
      </c>
      <c r="C4" s="2">
        <f t="shared" ref="C4:C6" si="0">_xlfn.NORM.S.DIST(B4,TRUE)</f>
        <v>0.98609655248650141</v>
      </c>
      <c r="D4" s="65" t="s">
        <v>5119</v>
      </c>
      <c r="E4" s="7">
        <f t="shared" ref="E4:E6" si="1">_xlfn.NORM.S.INV(C4)</f>
        <v>2.2000000000000006</v>
      </c>
    </row>
    <row r="5" spans="2:5">
      <c r="B5" s="2">
        <v>3.3</v>
      </c>
      <c r="C5" s="2">
        <f t="shared" si="0"/>
        <v>0.99951657585761622</v>
      </c>
      <c r="D5" s="65" t="s">
        <v>5120</v>
      </c>
      <c r="E5" s="7">
        <f t="shared" si="1"/>
        <v>3.2999999999999972</v>
      </c>
    </row>
    <row r="6" spans="2:5">
      <c r="B6" s="2">
        <v>4.4000000000000004</v>
      </c>
      <c r="C6" s="2">
        <f t="shared" si="0"/>
        <v>0.99999458745609227</v>
      </c>
      <c r="D6" s="65" t="s">
        <v>5121</v>
      </c>
      <c r="E6" s="7">
        <f t="shared" si="1"/>
        <v>4.3999999999987676</v>
      </c>
    </row>
  </sheetData>
  <pageMargins left="0.7" right="0.7" top="0.75" bottom="0.75" header="0.3" footer="0.3"/>
  <pageSetup orientation="portrait" horizontalDpi="4294967293" verticalDpi="0" r:id="rId1"/>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16C5-8D20-44F2-B1C4-AF100BA9438B}">
  <sheetPr codeName="Sheet653"/>
  <dimension ref="B2:C9"/>
  <sheetViews>
    <sheetView workbookViewId="0">
      <selection activeCell="B2" sqref="B2"/>
    </sheetView>
  </sheetViews>
  <sheetFormatPr defaultRowHeight="14.4"/>
  <cols>
    <col min="2" max="2" width="51.6640625" bestFit="1" customWidth="1"/>
  </cols>
  <sheetData>
    <row r="2" spans="2:3">
      <c r="B2" s="1" t="s">
        <v>2887</v>
      </c>
      <c r="C2" s="1" t="s">
        <v>1727</v>
      </c>
    </row>
    <row r="3" spans="2:3">
      <c r="B3" s="2" t="s">
        <v>5115</v>
      </c>
      <c r="C3" s="2">
        <v>4</v>
      </c>
    </row>
    <row r="4" spans="2:3">
      <c r="B4" s="2" t="s">
        <v>3817</v>
      </c>
      <c r="C4" s="2">
        <v>0</v>
      </c>
    </row>
    <row r="5" spans="2:3">
      <c r="B5" s="2" t="s">
        <v>3816</v>
      </c>
      <c r="C5" s="2">
        <v>1</v>
      </c>
    </row>
    <row r="7" spans="2:3">
      <c r="B7" s="1" t="s">
        <v>5123</v>
      </c>
      <c r="C7" s="7">
        <f>_xlfn.NORM.DIST(C3,C4,C5,TRUE)</f>
        <v>0.99996832875816688</v>
      </c>
    </row>
    <row r="8" spans="2:3">
      <c r="B8" s="1" t="s">
        <v>5124</v>
      </c>
      <c r="C8" s="7">
        <f>_xlfn.NORM.S.DIST(C3,TRUE)</f>
        <v>0.99996832875816688</v>
      </c>
    </row>
    <row r="9" spans="2:3">
      <c r="B9" s="1" t="s">
        <v>5122</v>
      </c>
      <c r="C9" s="7">
        <f>_xlfn.NORM.S.INV(C8)</f>
        <v>3.9999999999999996</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EC55A-6E1F-4231-9092-227D923B4077}">
  <sheetPr codeName="Sheet654"/>
  <dimension ref="B2:C8"/>
  <sheetViews>
    <sheetView workbookViewId="0">
      <selection activeCell="B2" sqref="B2"/>
    </sheetView>
  </sheetViews>
  <sheetFormatPr defaultRowHeight="14.4"/>
  <cols>
    <col min="2" max="2" width="15.109375" bestFit="1" customWidth="1"/>
    <col min="3" max="3" width="13" bestFit="1" customWidth="1"/>
  </cols>
  <sheetData>
    <row r="2" spans="2:3">
      <c r="B2" s="1" t="s">
        <v>5117</v>
      </c>
      <c r="C2" s="2">
        <v>0.01</v>
      </c>
    </row>
    <row r="4" spans="2:3">
      <c r="B4" s="1" t="s">
        <v>1984</v>
      </c>
      <c r="C4" s="1" t="s">
        <v>5125</v>
      </c>
    </row>
    <row r="5" spans="2:3">
      <c r="B5" s="2" t="s">
        <v>5116</v>
      </c>
      <c r="C5" s="7">
        <f>_xlfn.NORM.S.INV(C2)</f>
        <v>-2.3263478740408408</v>
      </c>
    </row>
    <row r="6" spans="2:3">
      <c r="B6" s="2" t="s">
        <v>3771</v>
      </c>
      <c r="C6" s="7">
        <f>_xlfn.NORM.S.INV(1-C2)</f>
        <v>2.3263478740408408</v>
      </c>
    </row>
    <row r="7" spans="2:3">
      <c r="B7" s="401" t="s">
        <v>3770</v>
      </c>
      <c r="C7" s="70">
        <f>_xlfn.NORM.S.INV(C2/2)</f>
        <v>-2.5758293035488999</v>
      </c>
    </row>
    <row r="8" spans="2:3">
      <c r="B8" s="401"/>
      <c r="C8" s="70">
        <f>_xlfn.NORM.S.INV(1-C2/2)</f>
        <v>2.5758293035488999</v>
      </c>
    </row>
  </sheetData>
  <mergeCells count="1">
    <mergeCell ref="B7:B8"/>
  </mergeCell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7C74-F1CD-4F37-8545-555ABA6BDAE9}">
  <sheetPr codeName="Sheet655"/>
  <dimension ref="B2:C3"/>
  <sheetViews>
    <sheetView workbookViewId="0">
      <selection activeCell="B2" sqref="B2"/>
    </sheetView>
  </sheetViews>
  <sheetFormatPr defaultRowHeight="14.4"/>
  <cols>
    <col min="2" max="2" width="9.88671875" bestFit="1" customWidth="1"/>
  </cols>
  <sheetData>
    <row r="2" spans="2:3">
      <c r="B2" s="1" t="s">
        <v>5108</v>
      </c>
      <c r="C2" s="1" t="s">
        <v>5107</v>
      </c>
    </row>
    <row r="3" spans="2:3">
      <c r="B3" s="2">
        <v>0.5</v>
      </c>
      <c r="C3" s="328">
        <f>_xlfn.NORM.S.INV(B3)</f>
        <v>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A3-2306-4758-92C9-956E95108184}">
  <sheetPr codeName="Sheet656"/>
  <dimension ref="B2:C7"/>
  <sheetViews>
    <sheetView workbookViewId="0">
      <selection activeCell="B2" sqref="B2"/>
    </sheetView>
  </sheetViews>
  <sheetFormatPr defaultRowHeight="14.4"/>
  <cols>
    <col min="2" max="2" width="9.88671875" bestFit="1" customWidth="1"/>
  </cols>
  <sheetData>
    <row r="2" spans="2:3">
      <c r="B2" s="1" t="s">
        <v>5108</v>
      </c>
      <c r="C2" s="1" t="s">
        <v>5107</v>
      </c>
    </row>
    <row r="3" spans="2:3">
      <c r="B3" s="2">
        <v>-0.1</v>
      </c>
      <c r="C3" s="328" t="e">
        <f>_xlfn.NORM.S.INV(B3)</f>
        <v>#NUM!</v>
      </c>
    </row>
    <row r="4" spans="2:3">
      <c r="B4" s="2">
        <v>0</v>
      </c>
      <c r="C4" s="328" t="e">
        <f t="shared" ref="C4:C7" si="0">_xlfn.NORM.S.INV(B4)</f>
        <v>#NUM!</v>
      </c>
    </row>
    <row r="5" spans="2:3">
      <c r="B5" s="2">
        <v>1</v>
      </c>
      <c r="C5" s="328" t="e">
        <f t="shared" si="0"/>
        <v>#NUM!</v>
      </c>
    </row>
    <row r="6" spans="2:3">
      <c r="B6" s="2">
        <v>1.1000000000000001</v>
      </c>
      <c r="C6" s="328" t="e">
        <f t="shared" si="0"/>
        <v>#NUM!</v>
      </c>
    </row>
    <row r="7" spans="2:3">
      <c r="B7" s="2" t="s">
        <v>3763</v>
      </c>
      <c r="C7" s="328" t="e">
        <f t="shared" si="0"/>
        <v>#VALUE!</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C4B8-83D9-4654-BB76-E61BE853FD77}">
  <sheetPr codeName="Sheet657"/>
  <dimension ref="B1:F13"/>
  <sheetViews>
    <sheetView workbookViewId="0">
      <selection activeCell="B8" sqref="B8"/>
    </sheetView>
  </sheetViews>
  <sheetFormatPr defaultRowHeight="14.4"/>
  <cols>
    <col min="1" max="1" width="9.88671875" bestFit="1" customWidth="1"/>
    <col min="2" max="2" width="28.44140625" bestFit="1" customWidth="1"/>
    <col min="3" max="3" width="9.88671875" bestFit="1" customWidth="1"/>
  </cols>
  <sheetData>
    <row r="1" spans="2:6">
      <c r="B1" s="1" t="s">
        <v>2887</v>
      </c>
      <c r="C1" s="1" t="s">
        <v>1727</v>
      </c>
    </row>
    <row r="2" spans="2:6">
      <c r="B2" s="2" t="s">
        <v>4409</v>
      </c>
      <c r="C2" s="53">
        <v>10000</v>
      </c>
    </row>
    <row r="3" spans="2:6">
      <c r="B3" s="2" t="s">
        <v>87</v>
      </c>
      <c r="C3" s="53">
        <v>4000</v>
      </c>
    </row>
    <row r="4" spans="2:6">
      <c r="B4" s="2" t="s">
        <v>59</v>
      </c>
      <c r="C4" s="53">
        <f>C2-C3</f>
        <v>6000</v>
      </c>
    </row>
    <row r="5" spans="2:6">
      <c r="B5" s="2" t="s">
        <v>5127</v>
      </c>
      <c r="C5" s="129">
        <f>C4/C2</f>
        <v>0.6</v>
      </c>
    </row>
    <row r="13" spans="2:6">
      <c r="F13" s="329"/>
    </row>
  </sheetData>
  <pageMargins left="0.7" right="0.7" top="0.75" bottom="0.75" header="0.3" footer="0.3"/>
  <pageSetup orientation="portrait" horizontalDpi="4294967293" verticalDpi="0"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81C6-16D0-4C96-9665-674AE9DE1480}">
  <sheetPr codeName="Sheet658"/>
  <dimension ref="A1:H11"/>
  <sheetViews>
    <sheetView workbookViewId="0">
      <selection activeCell="B8" sqref="B8"/>
    </sheetView>
  </sheetViews>
  <sheetFormatPr defaultRowHeight="14.4"/>
  <cols>
    <col min="1" max="1" width="10.33203125" bestFit="1" customWidth="1"/>
    <col min="2" max="2" width="22.88671875" bestFit="1" customWidth="1"/>
    <col min="3" max="3" width="17.88671875" bestFit="1" customWidth="1"/>
    <col min="4" max="4" width="20.33203125" bestFit="1" customWidth="1"/>
    <col min="5" max="5" width="17.88671875" bestFit="1" customWidth="1"/>
    <col min="6" max="6" width="17.5546875" bestFit="1" customWidth="1"/>
    <col min="7" max="7" width="20.109375" bestFit="1" customWidth="1"/>
    <col min="8" max="8" width="18.33203125" bestFit="1" customWidth="1"/>
  </cols>
  <sheetData>
    <row r="1" spans="1:8">
      <c r="A1" s="1" t="s">
        <v>0</v>
      </c>
      <c r="B1" s="1" t="s">
        <v>5128</v>
      </c>
      <c r="C1" s="1" t="s">
        <v>5129</v>
      </c>
      <c r="D1" s="1" t="s">
        <v>5130</v>
      </c>
      <c r="E1" s="1" t="s">
        <v>5131</v>
      </c>
      <c r="F1" s="1" t="s">
        <v>5132</v>
      </c>
      <c r="G1" s="68" t="s">
        <v>5143</v>
      </c>
      <c r="H1" s="68" t="s">
        <v>5144</v>
      </c>
    </row>
    <row r="2" spans="1:8">
      <c r="A2" s="2" t="s">
        <v>5133</v>
      </c>
      <c r="B2" s="2">
        <v>98</v>
      </c>
      <c r="C2" s="2">
        <v>95</v>
      </c>
      <c r="D2" s="2">
        <v>100</v>
      </c>
      <c r="E2" s="2">
        <v>96</v>
      </c>
      <c r="F2" s="2">
        <v>95</v>
      </c>
      <c r="G2" s="7">
        <f>SUM(B2:F2)</f>
        <v>484</v>
      </c>
      <c r="H2" s="62">
        <f>G2/500</f>
        <v>0.96799999999999997</v>
      </c>
    </row>
    <row r="3" spans="1:8">
      <c r="A3" s="2" t="s">
        <v>5134</v>
      </c>
      <c r="B3" s="2">
        <v>100</v>
      </c>
      <c r="C3" s="2">
        <v>99</v>
      </c>
      <c r="D3" s="2">
        <v>95</v>
      </c>
      <c r="E3" s="2">
        <v>100</v>
      </c>
      <c r="F3" s="2">
        <v>80</v>
      </c>
      <c r="G3" s="7">
        <f t="shared" ref="G3:G11" si="0">SUM(B3:F3)</f>
        <v>474</v>
      </c>
      <c r="H3" s="62">
        <f t="shared" ref="H3:H11" si="1">G3/500</f>
        <v>0.94799999999999995</v>
      </c>
    </row>
    <row r="4" spans="1:8">
      <c r="A4" s="2" t="s">
        <v>5135</v>
      </c>
      <c r="B4" s="2">
        <v>95</v>
      </c>
      <c r="C4" s="2">
        <v>100</v>
      </c>
      <c r="D4" s="2">
        <v>96</v>
      </c>
      <c r="E4" s="2">
        <v>98</v>
      </c>
      <c r="F4" s="2">
        <v>86</v>
      </c>
      <c r="G4" s="7">
        <f t="shared" si="0"/>
        <v>475</v>
      </c>
      <c r="H4" s="62">
        <f t="shared" si="1"/>
        <v>0.95</v>
      </c>
    </row>
    <row r="5" spans="1:8">
      <c r="A5" s="2" t="s">
        <v>5136</v>
      </c>
      <c r="B5" s="2">
        <v>96</v>
      </c>
      <c r="C5" s="2">
        <v>98</v>
      </c>
      <c r="D5" s="2">
        <v>97</v>
      </c>
      <c r="E5" s="2">
        <v>99</v>
      </c>
      <c r="F5" s="2">
        <v>85</v>
      </c>
      <c r="G5" s="7">
        <f t="shared" si="0"/>
        <v>475</v>
      </c>
      <c r="H5" s="62">
        <f t="shared" si="1"/>
        <v>0.95</v>
      </c>
    </row>
    <row r="6" spans="1:8">
      <c r="A6" s="2" t="s">
        <v>5137</v>
      </c>
      <c r="B6" s="2">
        <v>94</v>
      </c>
      <c r="C6" s="2">
        <v>99</v>
      </c>
      <c r="D6" s="2">
        <v>98</v>
      </c>
      <c r="E6" s="2">
        <v>95</v>
      </c>
      <c r="F6" s="2">
        <v>96</v>
      </c>
      <c r="G6" s="7">
        <f t="shared" si="0"/>
        <v>482</v>
      </c>
      <c r="H6" s="62">
        <f t="shared" si="1"/>
        <v>0.96399999999999997</v>
      </c>
    </row>
    <row r="7" spans="1:8">
      <c r="A7" s="2" t="s">
        <v>5138</v>
      </c>
      <c r="B7" s="2">
        <v>100</v>
      </c>
      <c r="C7" s="2">
        <v>94</v>
      </c>
      <c r="D7" s="2">
        <v>99</v>
      </c>
      <c r="E7" s="2">
        <v>98</v>
      </c>
      <c r="F7" s="2">
        <v>92</v>
      </c>
      <c r="G7" s="7">
        <f t="shared" si="0"/>
        <v>483</v>
      </c>
      <c r="H7" s="62">
        <f t="shared" si="1"/>
        <v>0.96599999999999997</v>
      </c>
    </row>
    <row r="8" spans="1:8">
      <c r="A8" s="2" t="s">
        <v>5139</v>
      </c>
      <c r="B8" s="2">
        <v>99</v>
      </c>
      <c r="C8" s="2">
        <v>95</v>
      </c>
      <c r="D8" s="2">
        <v>100</v>
      </c>
      <c r="E8" s="2">
        <v>97</v>
      </c>
      <c r="F8" s="2">
        <v>90</v>
      </c>
      <c r="G8" s="7">
        <f t="shared" si="0"/>
        <v>481</v>
      </c>
      <c r="H8" s="62">
        <f t="shared" si="1"/>
        <v>0.96199999999999997</v>
      </c>
    </row>
    <row r="9" spans="1:8">
      <c r="A9" s="2" t="s">
        <v>5140</v>
      </c>
      <c r="B9" s="2">
        <v>85</v>
      </c>
      <c r="C9" s="2">
        <v>96</v>
      </c>
      <c r="D9" s="2">
        <v>95</v>
      </c>
      <c r="E9" s="2">
        <v>96</v>
      </c>
      <c r="F9" s="2">
        <v>94</v>
      </c>
      <c r="G9" s="7">
        <f t="shared" si="0"/>
        <v>466</v>
      </c>
      <c r="H9" s="62">
        <f t="shared" si="1"/>
        <v>0.93200000000000005</v>
      </c>
    </row>
    <row r="10" spans="1:8">
      <c r="A10" s="2" t="s">
        <v>5141</v>
      </c>
      <c r="B10" s="2">
        <v>88</v>
      </c>
      <c r="C10" s="2">
        <v>86</v>
      </c>
      <c r="D10" s="2">
        <v>80</v>
      </c>
      <c r="E10" s="2">
        <v>90</v>
      </c>
      <c r="F10" s="2">
        <v>92</v>
      </c>
      <c r="G10" s="7">
        <f t="shared" si="0"/>
        <v>436</v>
      </c>
      <c r="H10" s="62">
        <f t="shared" si="1"/>
        <v>0.872</v>
      </c>
    </row>
    <row r="11" spans="1:8">
      <c r="A11" s="2" t="s">
        <v>5142</v>
      </c>
      <c r="B11" s="2">
        <v>90</v>
      </c>
      <c r="C11" s="2">
        <v>89</v>
      </c>
      <c r="D11" s="2">
        <v>84</v>
      </c>
      <c r="E11" s="2">
        <v>93</v>
      </c>
      <c r="F11" s="2">
        <v>91</v>
      </c>
      <c r="G11" s="7">
        <f t="shared" si="0"/>
        <v>447</v>
      </c>
      <c r="H11" s="62">
        <f t="shared" si="1"/>
        <v>0.89400000000000002</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5B31-C65E-4C91-A3A7-F450B339F4ED}">
  <sheetPr codeName="Sheet659"/>
  <dimension ref="B2:E11"/>
  <sheetViews>
    <sheetView workbookViewId="0">
      <selection activeCell="B8" sqref="B8"/>
    </sheetView>
  </sheetViews>
  <sheetFormatPr defaultRowHeight="14.4"/>
  <cols>
    <col min="2" max="2" width="20.33203125" bestFit="1" customWidth="1"/>
    <col min="3" max="3" width="13.5546875" bestFit="1" customWidth="1"/>
    <col min="4" max="4" width="32.88671875" bestFit="1" customWidth="1"/>
    <col min="5" max="5" width="20.44140625" bestFit="1" customWidth="1"/>
  </cols>
  <sheetData>
    <row r="2" spans="2:5">
      <c r="B2" s="1" t="s">
        <v>4500</v>
      </c>
      <c r="C2" s="1" t="s">
        <v>5147</v>
      </c>
      <c r="D2" s="1" t="s">
        <v>5145</v>
      </c>
      <c r="E2" s="1" t="s">
        <v>5146</v>
      </c>
    </row>
    <row r="3" spans="2:5">
      <c r="B3" s="2" t="s">
        <v>1533</v>
      </c>
      <c r="C3" s="53">
        <v>6000</v>
      </c>
      <c r="D3" s="15">
        <v>0.5</v>
      </c>
      <c r="E3" s="67">
        <f>C3*(1+D3)</f>
        <v>9000</v>
      </c>
    </row>
    <row r="4" spans="2:5">
      <c r="B4" s="2" t="s">
        <v>5148</v>
      </c>
      <c r="C4" s="53">
        <v>4032</v>
      </c>
      <c r="D4" s="15">
        <v>0.25</v>
      </c>
      <c r="E4" s="67">
        <f t="shared" ref="E4:E7" si="0">C4*(1+D4)</f>
        <v>5040</v>
      </c>
    </row>
    <row r="5" spans="2:5">
      <c r="B5" s="2" t="s">
        <v>5149</v>
      </c>
      <c r="C5" s="53">
        <v>3500</v>
      </c>
      <c r="D5" s="15">
        <v>0.23</v>
      </c>
      <c r="E5" s="67">
        <f t="shared" si="0"/>
        <v>4305</v>
      </c>
    </row>
    <row r="6" spans="2:5">
      <c r="B6" s="2" t="s">
        <v>5150</v>
      </c>
      <c r="C6" s="53">
        <v>2300</v>
      </c>
      <c r="D6" s="15">
        <v>0.2</v>
      </c>
      <c r="E6" s="67">
        <f t="shared" si="0"/>
        <v>2760</v>
      </c>
    </row>
    <row r="7" spans="2:5">
      <c r="B7" s="2" t="s">
        <v>5151</v>
      </c>
      <c r="C7" s="53">
        <v>2000</v>
      </c>
      <c r="D7" s="15">
        <v>0.19</v>
      </c>
      <c r="E7" s="67">
        <f t="shared" si="0"/>
        <v>2380</v>
      </c>
    </row>
    <row r="10" spans="2:5">
      <c r="C10" s="143"/>
      <c r="D10" s="105"/>
    </row>
    <row r="11" spans="2:5">
      <c r="D11" s="143"/>
    </row>
  </sheetData>
  <pageMargins left="0.7" right="0.7" top="0.75" bottom="0.75" header="0.3" footer="0.3"/>
  <pageSetup orientation="portrait" horizontalDpi="4294967293" verticalDpi="0" r:id="rId1"/>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BF71A-ED71-40CC-ADA2-AFF996D81AFE}">
  <sheetPr codeName="Sheet660"/>
  <dimension ref="A1:F9"/>
  <sheetViews>
    <sheetView workbookViewId="0">
      <selection activeCell="B8" sqref="B8"/>
    </sheetView>
  </sheetViews>
  <sheetFormatPr defaultRowHeight="14.4"/>
  <cols>
    <col min="1" max="1" width="21.44140625" bestFit="1" customWidth="1"/>
    <col min="2" max="2" width="8.44140625" bestFit="1" customWidth="1"/>
    <col min="3" max="3" width="10.109375" bestFit="1" customWidth="1"/>
    <col min="4" max="4" width="11.5546875" bestFit="1" customWidth="1"/>
    <col min="5" max="5" width="12.6640625" bestFit="1" customWidth="1"/>
    <col min="6" max="6" width="24.88671875" bestFit="1" customWidth="1"/>
  </cols>
  <sheetData>
    <row r="1" spans="1:6">
      <c r="A1" s="1" t="s">
        <v>5152</v>
      </c>
      <c r="B1" s="1" t="s">
        <v>136</v>
      </c>
      <c r="C1" s="1" t="s">
        <v>4682</v>
      </c>
      <c r="D1" s="1" t="s">
        <v>5154</v>
      </c>
      <c r="E1" s="1" t="s">
        <v>138</v>
      </c>
      <c r="F1" s="25" t="s">
        <v>5166</v>
      </c>
    </row>
    <row r="2" spans="1:6">
      <c r="A2" s="2" t="s">
        <v>3649</v>
      </c>
      <c r="B2" s="83">
        <v>1199</v>
      </c>
      <c r="C2" s="330">
        <v>0.13</v>
      </c>
      <c r="D2" s="15">
        <v>8.2500000000000004E-2</v>
      </c>
      <c r="E2" s="67">
        <f>(B2*(1+D2))*(1-C2)</f>
        <v>1129.1882250000001</v>
      </c>
      <c r="F2" s="88">
        <f>ABS(E2/(B2*(1+D2))-1)</f>
        <v>0.12999999999999989</v>
      </c>
    </row>
    <row r="3" spans="1:6">
      <c r="A3" s="2" t="s">
        <v>5153</v>
      </c>
      <c r="B3" s="83">
        <v>2499</v>
      </c>
      <c r="C3" s="330">
        <v>0.16</v>
      </c>
      <c r="D3" s="15">
        <v>8.2500000000000004E-2</v>
      </c>
      <c r="E3" s="67">
        <f t="shared" ref="E3:E6" si="0">(B3*(1+D3))*(1-C3)</f>
        <v>2272.3406999999997</v>
      </c>
      <c r="F3" s="88">
        <f t="shared" ref="F3:F6" si="1">ABS(E3/(B3*(1+D3))-1)</f>
        <v>0.16000000000000014</v>
      </c>
    </row>
    <row r="4" spans="1:6">
      <c r="A4" s="2" t="s">
        <v>3651</v>
      </c>
      <c r="B4" s="83">
        <v>1000</v>
      </c>
      <c r="C4" s="330">
        <v>0.2</v>
      </c>
      <c r="D4" s="15">
        <v>8.2500000000000004E-2</v>
      </c>
      <c r="E4" s="67">
        <f t="shared" si="0"/>
        <v>866</v>
      </c>
      <c r="F4" s="88">
        <f t="shared" si="1"/>
        <v>0.19999999999999996</v>
      </c>
    </row>
    <row r="5" spans="1:6">
      <c r="A5" s="2" t="s">
        <v>3652</v>
      </c>
      <c r="B5" s="83">
        <v>1550</v>
      </c>
      <c r="C5" s="330">
        <v>0.1</v>
      </c>
      <c r="D5" s="15">
        <v>8.2500000000000004E-2</v>
      </c>
      <c r="E5" s="67">
        <f t="shared" si="0"/>
        <v>1510.0875000000001</v>
      </c>
      <c r="F5" s="88">
        <f t="shared" si="1"/>
        <v>9.9999999999999978E-2</v>
      </c>
    </row>
    <row r="6" spans="1:6">
      <c r="A6" s="2" t="s">
        <v>3653</v>
      </c>
      <c r="B6" s="83">
        <v>2000</v>
      </c>
      <c r="C6" s="330">
        <v>0.15</v>
      </c>
      <c r="D6" s="15">
        <v>8.2500000000000004E-2</v>
      </c>
      <c r="E6" s="67">
        <f t="shared" si="0"/>
        <v>1840.25</v>
      </c>
      <c r="F6" s="88">
        <f t="shared" si="1"/>
        <v>0.15000000000000002</v>
      </c>
    </row>
    <row r="8" spans="1:6">
      <c r="E8" s="85"/>
      <c r="F8" s="85"/>
    </row>
    <row r="9" spans="1:6">
      <c r="D9" s="85"/>
      <c r="E9" s="85"/>
    </row>
  </sheetData>
  <pageMargins left="0.7" right="0.7" top="0.75" bottom="0.75" header="0.3" footer="0.3"/>
  <pageSetup orientation="portrait" horizontalDpi="4294967293" verticalDpi="0"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FE9-1F52-4397-ABF8-8332DAFF8860}">
  <sheetPr codeName="Sheet661"/>
  <dimension ref="A1:J9"/>
  <sheetViews>
    <sheetView workbookViewId="0">
      <selection activeCell="B8" sqref="B8"/>
    </sheetView>
  </sheetViews>
  <sheetFormatPr defaultRowHeight="14.4"/>
  <cols>
    <col min="1" max="1" width="6.5546875" bestFit="1" customWidth="1"/>
    <col min="2" max="2" width="13.5546875" bestFit="1" customWidth="1"/>
    <col min="3" max="3" width="12.6640625" bestFit="1" customWidth="1"/>
    <col min="4" max="4" width="27" bestFit="1" customWidth="1"/>
  </cols>
  <sheetData>
    <row r="1" spans="1:10">
      <c r="A1" s="1" t="s">
        <v>130</v>
      </c>
      <c r="B1" s="1" t="s">
        <v>4694</v>
      </c>
      <c r="C1" s="1" t="s">
        <v>138</v>
      </c>
      <c r="D1" s="1" t="s">
        <v>5165</v>
      </c>
    </row>
    <row r="2" spans="1:10">
      <c r="A2" s="2" t="s">
        <v>3983</v>
      </c>
      <c r="B2" s="53">
        <v>100</v>
      </c>
      <c r="C2" s="53">
        <v>90</v>
      </c>
      <c r="D2" s="337">
        <f>(C2-B2)/B2</f>
        <v>-0.1</v>
      </c>
    </row>
    <row r="3" spans="1:10">
      <c r="A3" s="2" t="s">
        <v>3984</v>
      </c>
      <c r="B3" s="53">
        <v>85</v>
      </c>
      <c r="C3" s="53">
        <v>80</v>
      </c>
      <c r="D3" s="337">
        <f t="shared" ref="D3:D6" si="0">(C3-B3)/B3</f>
        <v>-5.8823529411764705E-2</v>
      </c>
      <c r="F3" s="331"/>
      <c r="G3" s="144"/>
    </row>
    <row r="4" spans="1:10">
      <c r="A4" s="2" t="s">
        <v>3985</v>
      </c>
      <c r="B4" s="53">
        <v>100</v>
      </c>
      <c r="C4" s="53">
        <v>111</v>
      </c>
      <c r="D4" s="337">
        <f t="shared" si="0"/>
        <v>0.11</v>
      </c>
    </row>
    <row r="5" spans="1:10">
      <c r="A5" s="2" t="s">
        <v>3986</v>
      </c>
      <c r="B5" s="53">
        <v>120</v>
      </c>
      <c r="C5" s="53">
        <v>110</v>
      </c>
      <c r="D5" s="337">
        <f t="shared" si="0"/>
        <v>-8.3333333333333329E-2</v>
      </c>
      <c r="J5" s="334"/>
    </row>
    <row r="6" spans="1:10">
      <c r="A6" s="2" t="s">
        <v>3987</v>
      </c>
      <c r="B6" s="53">
        <v>80</v>
      </c>
      <c r="C6" s="53">
        <v>74</v>
      </c>
      <c r="D6" s="337">
        <f t="shared" si="0"/>
        <v>-7.4999999999999997E-2</v>
      </c>
      <c r="H6" s="332"/>
    </row>
    <row r="7" spans="1:10">
      <c r="I7" s="333"/>
    </row>
    <row r="9" spans="1:10">
      <c r="D9" s="144"/>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BF3-2CAB-445D-82F5-3BA8ACBD6388}">
  <sheetPr codeName="Sheet662"/>
  <dimension ref="A1:F9"/>
  <sheetViews>
    <sheetView workbookViewId="0"/>
  </sheetViews>
  <sheetFormatPr defaultRowHeight="14.4"/>
  <cols>
    <col min="1" max="1" width="10.88671875" bestFit="1" customWidth="1"/>
    <col min="2" max="2" width="18.6640625" bestFit="1" customWidth="1"/>
    <col min="3" max="3" width="26.33203125" bestFit="1" customWidth="1"/>
    <col min="6" max="6" width="11.88671875" bestFit="1" customWidth="1"/>
  </cols>
  <sheetData>
    <row r="1" spans="1:6">
      <c r="A1" s="1" t="s">
        <v>5155</v>
      </c>
      <c r="B1" s="1" t="s">
        <v>5159</v>
      </c>
      <c r="C1" s="1" t="s">
        <v>5160</v>
      </c>
    </row>
    <row r="2" spans="1:6">
      <c r="A2" s="2" t="s">
        <v>5156</v>
      </c>
      <c r="B2" s="335">
        <v>0.5</v>
      </c>
      <c r="C2" s="55" t="s">
        <v>5161</v>
      </c>
    </row>
    <row r="3" spans="1:6">
      <c r="A3" s="2" t="s">
        <v>5158</v>
      </c>
      <c r="B3" s="335">
        <v>0.05</v>
      </c>
      <c r="C3" s="55" t="s">
        <v>5162</v>
      </c>
    </row>
    <row r="4" spans="1:6">
      <c r="A4" s="2" t="s">
        <v>5157</v>
      </c>
      <c r="B4" s="335">
        <v>5.0000000000000001E-3</v>
      </c>
      <c r="C4" s="55" t="s">
        <v>5163</v>
      </c>
    </row>
    <row r="5" spans="1:6">
      <c r="A5" s="2" t="s">
        <v>5157</v>
      </c>
      <c r="B5" s="335">
        <v>0.5</v>
      </c>
      <c r="C5" s="55" t="s">
        <v>5164</v>
      </c>
      <c r="F5" s="336"/>
    </row>
    <row r="7" spans="1:6">
      <c r="F7" s="144"/>
    </row>
    <row r="8" spans="1:6">
      <c r="B8" s="144"/>
    </row>
    <row r="9" spans="1:6">
      <c r="C9" s="144"/>
      <c r="F9" s="144"/>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0D19-1561-4560-814D-A601CBBDE8DA}">
  <sheetPr codeName="Sheet663"/>
  <dimension ref="A1:D4"/>
  <sheetViews>
    <sheetView workbookViewId="0">
      <selection activeCell="D19" sqref="D19"/>
    </sheetView>
  </sheetViews>
  <sheetFormatPr defaultRowHeight="14.4"/>
  <cols>
    <col min="1" max="1" width="19.88671875" bestFit="1" customWidth="1"/>
    <col min="2" max="2" width="30.109375" bestFit="1" customWidth="1"/>
    <col min="3" max="3" width="22.44140625" bestFit="1" customWidth="1"/>
    <col min="4" max="4" width="28.88671875" bestFit="1" customWidth="1"/>
  </cols>
  <sheetData>
    <row r="1" spans="1:4">
      <c r="A1" s="1" t="s">
        <v>1633</v>
      </c>
      <c r="B1" s="1" t="s">
        <v>622</v>
      </c>
      <c r="C1" s="1" t="s">
        <v>1759</v>
      </c>
      <c r="D1" s="25" t="s">
        <v>1570</v>
      </c>
    </row>
    <row r="2" spans="1:4" ht="28.8">
      <c r="A2" s="401" t="s">
        <v>5167</v>
      </c>
      <c r="B2" s="2" t="s">
        <v>5168</v>
      </c>
      <c r="C2" s="108" t="str">
        <f>UPPER(A2)</f>
        <v>SENTENCE CASE IN EXCEL.</v>
      </c>
      <c r="D2" s="65" t="s">
        <v>5170</v>
      </c>
    </row>
    <row r="3" spans="1:4">
      <c r="A3" s="401"/>
      <c r="B3" s="2" t="s">
        <v>5169</v>
      </c>
      <c r="C3" s="7" t="str">
        <f>LOWER(A2)</f>
        <v>sentence case in excel.</v>
      </c>
      <c r="D3" s="65" t="s">
        <v>5171</v>
      </c>
    </row>
    <row r="4" spans="1:4">
      <c r="A4" s="401"/>
      <c r="B4" s="2" t="s">
        <v>5181</v>
      </c>
      <c r="C4" s="7" t="str">
        <f>PROPER(A2)</f>
        <v>Sentence Case In Excel.</v>
      </c>
      <c r="D4" s="65" t="s">
        <v>5172</v>
      </c>
    </row>
  </sheetData>
  <mergeCells count="1">
    <mergeCell ref="A2:A4"/>
  </mergeCells>
  <pageMargins left="0.7" right="0.7" top="0.75" bottom="0.75" header="0.3" footer="0.3"/>
  <pageSetup orientation="portrait" horizontalDpi="4294967293" verticalDpi="0"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E455-3641-4FB0-BC40-F76A35C87C48}">
  <sheetPr codeName="Sheet664"/>
  <dimension ref="B2:C9"/>
  <sheetViews>
    <sheetView workbookViewId="0">
      <selection activeCell="D19" sqref="D19"/>
    </sheetView>
  </sheetViews>
  <sheetFormatPr defaultRowHeight="14.4"/>
  <cols>
    <col min="2" max="2" width="15.44140625" customWidth="1"/>
    <col min="3" max="3" width="23.6640625" bestFit="1" customWidth="1"/>
  </cols>
  <sheetData>
    <row r="2" spans="2:3">
      <c r="B2" s="1" t="s">
        <v>5177</v>
      </c>
      <c r="C2" s="1" t="s">
        <v>5178</v>
      </c>
    </row>
    <row r="3" spans="2:3">
      <c r="B3" s="2" t="s">
        <v>5175</v>
      </c>
      <c r="C3" s="7" t="str">
        <f>LOWER(B3)</f>
        <v>m/s</v>
      </c>
    </row>
    <row r="4" spans="2:3">
      <c r="B4" s="14"/>
      <c r="C4" s="14"/>
    </row>
    <row r="5" spans="2:3">
      <c r="B5" s="1" t="s">
        <v>5179</v>
      </c>
      <c r="C5" s="1" t="s">
        <v>5180</v>
      </c>
    </row>
    <row r="6" spans="2:3">
      <c r="B6" s="2" t="s">
        <v>5176</v>
      </c>
      <c r="C6" s="7" t="str">
        <f>UPPER(B6)</f>
        <v>LTE</v>
      </c>
    </row>
    <row r="7" spans="2:3">
      <c r="B7" s="14"/>
      <c r="C7" s="14"/>
    </row>
    <row r="8" spans="2:3">
      <c r="B8" s="1" t="s">
        <v>240</v>
      </c>
      <c r="C8" s="1" t="s">
        <v>5174</v>
      </c>
    </row>
    <row r="9" spans="2:3">
      <c r="B9" s="2" t="s">
        <v>5173</v>
      </c>
      <c r="C9" s="7" t="str">
        <f>PROPER(B9)</f>
        <v>Kevin Reed</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8AA-2DB2-4EC0-8B24-7F6E674970F7}">
  <sheetPr codeName="Sheet665"/>
  <dimension ref="B2:C7"/>
  <sheetViews>
    <sheetView workbookViewId="0">
      <selection activeCell="D19" sqref="D19"/>
    </sheetView>
  </sheetViews>
  <sheetFormatPr defaultRowHeight="14.4"/>
  <cols>
    <col min="2" max="2" width="76.44140625" bestFit="1" customWidth="1"/>
    <col min="3" max="3" width="67.109375" bestFit="1" customWidth="1"/>
  </cols>
  <sheetData>
    <row r="2" spans="2:3">
      <c r="B2" s="1" t="s">
        <v>5182</v>
      </c>
      <c r="C2" s="1" t="s">
        <v>5205</v>
      </c>
    </row>
    <row r="3" spans="2:3">
      <c r="B3" s="2" t="s">
        <v>5186</v>
      </c>
      <c r="C3" s="7" t="str">
        <f>LEFT(B3,1)&amp;LOWER(RIGHT(B3,LEN(B3)-1))</f>
        <v>It is during our darkest moments that we must focus to see the light.</v>
      </c>
    </row>
    <row r="4" spans="2:3">
      <c r="B4" s="2" t="s">
        <v>5183</v>
      </c>
      <c r="C4" s="7" t="str">
        <f t="shared" ref="C4:C7" si="0">LEFT(B4,1)&amp;LOWER(RIGHT(B4,LEN(B4)-1))</f>
        <v>When you reach the end of your rope, tie a knot in it and hang on.</v>
      </c>
    </row>
    <row r="5" spans="2:3">
      <c r="B5" s="2" t="s">
        <v>5184</v>
      </c>
      <c r="C5" s="7" t="str">
        <f t="shared" si="0"/>
        <v>The future belongs to those who believe in the beauty of their dreams.</v>
      </c>
    </row>
    <row r="6" spans="2:3">
      <c r="B6" s="2" t="s">
        <v>5187</v>
      </c>
      <c r="C6" s="7" t="str">
        <f t="shared" si="0"/>
        <v>Don't judge each day by the harvest you reap but by the seeds that you plant.</v>
      </c>
    </row>
    <row r="7" spans="2:3">
      <c r="B7" s="2" t="s">
        <v>5185</v>
      </c>
      <c r="C7" s="7" t="str">
        <f t="shared" si="0"/>
        <v>Whoever is happy will make others happy too.</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9341-511F-4082-BBDE-1F69B1CF3DE9}">
  <sheetPr codeName="Sheet666"/>
  <dimension ref="B2:C11"/>
  <sheetViews>
    <sheetView workbookViewId="0">
      <selection activeCell="D19" sqref="D19"/>
    </sheetView>
  </sheetViews>
  <sheetFormatPr defaultRowHeight="14.4"/>
  <cols>
    <col min="2" max="2" width="45.5546875" bestFit="1" customWidth="1"/>
    <col min="3" max="3" width="47.5546875" customWidth="1"/>
  </cols>
  <sheetData>
    <row r="2" spans="2:3">
      <c r="B2" s="1" t="s">
        <v>5190</v>
      </c>
      <c r="C2" s="1" t="s">
        <v>5189</v>
      </c>
    </row>
    <row r="3" spans="2:3" ht="115.2">
      <c r="B3" s="107" t="s">
        <v>5188</v>
      </c>
      <c r="C3" s="307" t="str">
        <f>SUBSTITUTE(SUBSTITUTE(PROPER(SUBSTITUTE(SUBSTITUTE(SUBSTITUTE(B3,". ","1x1")," ","xjx"),"1x1",". ")),"xjx"," "),"Xjx"," ")</f>
        <v>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v>
      </c>
    </row>
    <row r="9" spans="2:3">
      <c r="B9" s="121"/>
      <c r="C9" t="str">
        <f>PROPER(SUBSTITUTE(B5," ","9xx9"))</f>
        <v/>
      </c>
    </row>
    <row r="11" spans="2:3">
      <c r="C11" t="str">
        <f>PROPER(B11)</f>
        <v/>
      </c>
    </row>
  </sheetData>
  <pageMargins left="0.7" right="0.7" top="0.75" bottom="0.75" header="0.3" footer="0.3"/>
  <pageSetup orientation="portrait" horizontalDpi="4294967293" verticalDpi="0"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BBEE-ABB8-4A26-8AA2-40EBEA0ECEDA}">
  <sheetPr codeName="Sheet667"/>
  <dimension ref="B2:C7"/>
  <sheetViews>
    <sheetView workbookViewId="0">
      <selection activeCell="D19" sqref="D19"/>
    </sheetView>
  </sheetViews>
  <sheetFormatPr defaultRowHeight="14.4"/>
  <cols>
    <col min="2" max="2" width="47.88671875" bestFit="1" customWidth="1"/>
    <col min="3" max="3" width="71.44140625" bestFit="1" customWidth="1"/>
  </cols>
  <sheetData>
    <row r="2" spans="2:3">
      <c r="B2" s="1" t="s">
        <v>5196</v>
      </c>
      <c r="C2" s="1" t="s">
        <v>5197</v>
      </c>
    </row>
    <row r="3" spans="2:3">
      <c r="B3" s="2" t="s">
        <v>5198</v>
      </c>
      <c r="C3" s="2" t="s">
        <v>5192</v>
      </c>
    </row>
    <row r="4" spans="2:3">
      <c r="B4" s="2" t="s">
        <v>5199</v>
      </c>
      <c r="C4" s="2" t="s">
        <v>5191</v>
      </c>
    </row>
    <row r="5" spans="2:3">
      <c r="B5" s="2" t="s">
        <v>5200</v>
      </c>
      <c r="C5" s="2" t="s">
        <v>5193</v>
      </c>
    </row>
    <row r="6" spans="2:3">
      <c r="B6" s="2" t="s">
        <v>5201</v>
      </c>
      <c r="C6" s="2" t="s">
        <v>5194</v>
      </c>
    </row>
    <row r="7" spans="2:3">
      <c r="B7" s="2" t="s">
        <v>5202</v>
      </c>
      <c r="C7" s="2" t="s">
        <v>5195</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0CD6-D2C7-45E5-9526-CC65DFB50A87}">
  <sheetPr codeName="Sheet668"/>
  <dimension ref="A1:B3"/>
  <sheetViews>
    <sheetView workbookViewId="0"/>
  </sheetViews>
  <sheetFormatPr defaultRowHeight="14.4"/>
  <cols>
    <col min="1" max="1" width="45.88671875" bestFit="1" customWidth="1"/>
    <col min="2" max="2" width="45.88671875" customWidth="1"/>
  </cols>
  <sheetData>
    <row r="1" spans="1:2">
      <c r="A1" s="1" t="s">
        <v>1633</v>
      </c>
      <c r="B1" s="1" t="s">
        <v>5206</v>
      </c>
    </row>
    <row r="2" spans="1:2">
      <c r="A2" s="2" t="s">
        <v>5203</v>
      </c>
      <c r="B2" s="7" t="s">
        <v>5207</v>
      </c>
    </row>
    <row r="3" spans="1:2">
      <c r="A3" s="2" t="s">
        <v>5204</v>
      </c>
      <c r="B3" s="7" t="s">
        <v>5208</v>
      </c>
    </row>
  </sheetData>
  <pageMargins left="0.7" right="0.7" top="0.75" bottom="0.75" header="0.3" footer="0.3"/>
  <pageSetup orientation="portrait" horizontalDpi="4294967293" verticalDpi="0" r:id="rId1"/>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CE04-342E-44AC-88B5-B7E7228994AA}">
  <sheetPr codeName="Sheet669"/>
  <dimension ref="A1:D12"/>
  <sheetViews>
    <sheetView workbookViewId="0">
      <selection activeCell="C12" sqref="C12"/>
    </sheetView>
  </sheetViews>
  <sheetFormatPr defaultRowHeight="14.4"/>
  <cols>
    <col min="1" max="1" width="6.44140625" bestFit="1" customWidth="1"/>
    <col min="2" max="2" width="5.88671875" bestFit="1" customWidth="1"/>
    <col min="3" max="3" width="10.88671875" bestFit="1" customWidth="1"/>
    <col min="4" max="4" width="17.44140625" bestFit="1" customWidth="1"/>
  </cols>
  <sheetData>
    <row r="1" spans="1:4">
      <c r="A1" s="1" t="s">
        <v>130</v>
      </c>
      <c r="B1" s="1" t="s">
        <v>1</v>
      </c>
      <c r="C1" s="1" t="s">
        <v>5209</v>
      </c>
      <c r="D1" s="1" t="s">
        <v>5211</v>
      </c>
    </row>
    <row r="2" spans="1:4">
      <c r="A2" s="2" t="s">
        <v>2044</v>
      </c>
      <c r="B2" s="2" t="s">
        <v>758</v>
      </c>
      <c r="C2" s="53">
        <v>517</v>
      </c>
      <c r="D2" s="2">
        <v>100</v>
      </c>
    </row>
    <row r="3" spans="1:4">
      <c r="A3" s="2" t="s">
        <v>2042</v>
      </c>
      <c r="B3" s="2" t="s">
        <v>760</v>
      </c>
      <c r="C3" s="53">
        <v>210</v>
      </c>
      <c r="D3" s="2">
        <v>105</v>
      </c>
    </row>
    <row r="4" spans="1:4">
      <c r="A4" s="2" t="s">
        <v>5212</v>
      </c>
      <c r="B4" s="2" t="s">
        <v>760</v>
      </c>
      <c r="C4" s="53">
        <v>220</v>
      </c>
      <c r="D4" s="2">
        <v>110</v>
      </c>
    </row>
    <row r="5" spans="1:4">
      <c r="A5" s="2" t="s">
        <v>2044</v>
      </c>
      <c r="B5" s="2" t="s">
        <v>760</v>
      </c>
      <c r="C5" s="53">
        <v>500</v>
      </c>
      <c r="D5" s="2">
        <v>210</v>
      </c>
    </row>
    <row r="6" spans="1:4">
      <c r="A6" s="2" t="s">
        <v>2044</v>
      </c>
      <c r="B6" s="2" t="s">
        <v>758</v>
      </c>
      <c r="C6" s="53">
        <v>450</v>
      </c>
      <c r="D6" s="2">
        <v>220</v>
      </c>
    </row>
    <row r="7" spans="1:4">
      <c r="A7" s="2" t="s">
        <v>2042</v>
      </c>
      <c r="B7" s="2" t="s">
        <v>762</v>
      </c>
      <c r="C7" s="53">
        <v>200</v>
      </c>
      <c r="D7" s="2">
        <v>150</v>
      </c>
    </row>
    <row r="8" spans="1:4">
      <c r="A8" s="2" t="s">
        <v>5212</v>
      </c>
      <c r="B8" s="2" t="s">
        <v>760</v>
      </c>
      <c r="C8" s="53">
        <v>209</v>
      </c>
      <c r="D8" s="2">
        <v>190</v>
      </c>
    </row>
    <row r="9" spans="1:4">
      <c r="A9" s="2" t="s">
        <v>5212</v>
      </c>
      <c r="B9" s="2" t="s">
        <v>762</v>
      </c>
      <c r="C9" s="53">
        <v>201</v>
      </c>
      <c r="D9" s="2">
        <v>300</v>
      </c>
    </row>
    <row r="11" spans="1:4" s="121" customFormat="1" ht="28.8">
      <c r="A11" s="8" t="s">
        <v>130</v>
      </c>
      <c r="B11" s="8" t="s">
        <v>1</v>
      </c>
      <c r="C11" s="8" t="s">
        <v>5210</v>
      </c>
    </row>
    <row r="12" spans="1:4">
      <c r="A12" s="2" t="s">
        <v>5212</v>
      </c>
      <c r="B12" s="2" t="s">
        <v>760</v>
      </c>
      <c r="C12" s="67">
        <f>SUMPRODUCT(--($A$2:$A$9=A12),--($B$2:$B$9=B12),$C$2:$C$9,$D$2:$D$9)</f>
        <v>63910</v>
      </c>
    </row>
  </sheetData>
  <pageMargins left="0.7" right="0.7" top="0.75" bottom="0.75" header="0.3" footer="0.3"/>
  <pageSetup orientation="portrait" horizontalDpi="4294967293" verticalDpi="0"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65BD-5F2A-423A-A41F-0F49F7D0BBA1}">
  <sheetPr codeName="Sheet670"/>
  <dimension ref="A1:C14"/>
  <sheetViews>
    <sheetView workbookViewId="0">
      <selection activeCell="C12" sqref="C12"/>
    </sheetView>
  </sheetViews>
  <sheetFormatPr defaultRowHeight="14.4"/>
  <cols>
    <col min="1" max="1" width="26.88671875" bestFit="1" customWidth="1"/>
    <col min="2" max="2" width="12" bestFit="1" customWidth="1"/>
    <col min="3" max="3" width="8.88671875" bestFit="1" customWidth="1"/>
  </cols>
  <sheetData>
    <row r="1" spans="1:3">
      <c r="A1" s="1" t="s">
        <v>5213</v>
      </c>
      <c r="B1" s="1" t="s">
        <v>387</v>
      </c>
      <c r="C1" s="1" t="s">
        <v>319</v>
      </c>
    </row>
    <row r="2" spans="1:3">
      <c r="A2" s="2">
        <v>1</v>
      </c>
      <c r="B2" s="2" t="s">
        <v>5214</v>
      </c>
      <c r="C2" s="53">
        <v>2000</v>
      </c>
    </row>
    <row r="3" spans="1:3">
      <c r="A3" s="2">
        <v>2</v>
      </c>
      <c r="B3" s="2" t="s">
        <v>5215</v>
      </c>
      <c r="C3" s="53">
        <v>2100</v>
      </c>
    </row>
    <row r="4" spans="1:3">
      <c r="A4" s="2">
        <v>1</v>
      </c>
      <c r="B4" s="2" t="s">
        <v>5214</v>
      </c>
      <c r="C4" s="53">
        <v>930</v>
      </c>
    </row>
    <row r="5" spans="1:3">
      <c r="A5" s="2">
        <v>3</v>
      </c>
      <c r="B5" s="2" t="s">
        <v>5214</v>
      </c>
      <c r="C5" s="53">
        <v>1500</v>
      </c>
    </row>
    <row r="6" spans="1:3">
      <c r="A6" s="2">
        <v>2</v>
      </c>
      <c r="B6" s="2" t="s">
        <v>5215</v>
      </c>
      <c r="C6" s="53">
        <v>1100</v>
      </c>
    </row>
    <row r="7" spans="1:3">
      <c r="A7" s="2">
        <v>1</v>
      </c>
      <c r="B7" s="2" t="s">
        <v>5215</v>
      </c>
      <c r="C7" s="53">
        <v>800</v>
      </c>
    </row>
    <row r="8" spans="1:3">
      <c r="A8" s="2">
        <v>3</v>
      </c>
      <c r="B8" s="2" t="s">
        <v>5215</v>
      </c>
      <c r="C8" s="53">
        <v>890</v>
      </c>
    </row>
    <row r="9" spans="1:3">
      <c r="A9" s="2">
        <v>2</v>
      </c>
      <c r="B9" s="2" t="s">
        <v>5215</v>
      </c>
      <c r="C9" s="53">
        <v>1400</v>
      </c>
    </row>
    <row r="10" spans="1:3">
      <c r="A10" s="2">
        <v>3</v>
      </c>
      <c r="B10" s="2" t="s">
        <v>5216</v>
      </c>
      <c r="C10" s="53">
        <v>2700</v>
      </c>
    </row>
    <row r="12" spans="1:3">
      <c r="A12" s="1" t="s">
        <v>5213</v>
      </c>
      <c r="B12" s="2">
        <v>2</v>
      </c>
    </row>
    <row r="13" spans="1:3">
      <c r="A13" s="1" t="s">
        <v>5218</v>
      </c>
      <c r="B13" s="83">
        <v>1200</v>
      </c>
    </row>
    <row r="14" spans="1:3">
      <c r="A14" s="1" t="s">
        <v>5217</v>
      </c>
      <c r="B14" s="67">
        <f>SUMPRODUCT(--($A$2:$A$10=B12),--($C$2:$C$10&gt;1200),$C$2:$C$10)</f>
        <v>3500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100F-3176-44D6-AB61-80E0FFAAEFBB}">
  <sheetPr codeName="Sheet671"/>
  <dimension ref="A1:I11"/>
  <sheetViews>
    <sheetView workbookViewId="0">
      <selection activeCell="C12" sqref="C12"/>
    </sheetView>
  </sheetViews>
  <sheetFormatPr defaultRowHeight="14.4"/>
  <cols>
    <col min="1" max="1" width="11.109375" bestFit="1" customWidth="1"/>
    <col min="8" max="8" width="19.109375" bestFit="1" customWidth="1"/>
  </cols>
  <sheetData>
    <row r="1" spans="1:9">
      <c r="A1" s="369" t="s">
        <v>201</v>
      </c>
      <c r="B1" s="369" t="s">
        <v>3486</v>
      </c>
      <c r="C1" s="369" t="s">
        <v>5222</v>
      </c>
      <c r="D1" s="369"/>
      <c r="E1" s="369"/>
      <c r="F1" s="369"/>
      <c r="H1" s="1" t="s">
        <v>30</v>
      </c>
      <c r="I1" s="2" t="s">
        <v>5221</v>
      </c>
    </row>
    <row r="2" spans="1:9">
      <c r="A2" s="369"/>
      <c r="B2" s="369"/>
      <c r="C2" s="1" t="s">
        <v>5219</v>
      </c>
      <c r="D2" s="1" t="s">
        <v>5220</v>
      </c>
      <c r="E2" s="1" t="s">
        <v>5221</v>
      </c>
      <c r="F2" s="1" t="s">
        <v>91</v>
      </c>
      <c r="H2" s="1" t="s">
        <v>3486</v>
      </c>
      <c r="I2" s="2" t="s">
        <v>340</v>
      </c>
    </row>
    <row r="3" spans="1:9">
      <c r="A3" s="2" t="s">
        <v>3472</v>
      </c>
      <c r="B3" s="2" t="s">
        <v>340</v>
      </c>
      <c r="C3" s="2">
        <v>2000</v>
      </c>
      <c r="D3" s="2">
        <v>2200</v>
      </c>
      <c r="E3" s="2">
        <v>1900</v>
      </c>
      <c r="F3" s="2">
        <v>3000</v>
      </c>
      <c r="H3" s="1" t="s">
        <v>5223</v>
      </c>
      <c r="I3" s="7">
        <f>SUMPRODUCT((C2:F2=I1)*(B3:B11=I2)*C3:F11)</f>
        <v>10400</v>
      </c>
    </row>
    <row r="4" spans="1:9">
      <c r="A4" s="2" t="s">
        <v>75</v>
      </c>
      <c r="B4" s="2" t="s">
        <v>340</v>
      </c>
      <c r="C4" s="2">
        <v>5000</v>
      </c>
      <c r="D4" s="2">
        <v>4500</v>
      </c>
      <c r="E4" s="2">
        <v>4200</v>
      </c>
      <c r="F4" s="2">
        <v>5500</v>
      </c>
      <c r="I4" s="14"/>
    </row>
    <row r="5" spans="1:9">
      <c r="A5" s="2" t="s">
        <v>1844</v>
      </c>
      <c r="B5" s="2" t="s">
        <v>4141</v>
      </c>
      <c r="C5" s="2">
        <v>1000</v>
      </c>
      <c r="D5" s="2">
        <v>900</v>
      </c>
      <c r="E5" s="2">
        <v>500</v>
      </c>
      <c r="F5" s="2">
        <v>1500</v>
      </c>
    </row>
    <row r="6" spans="1:9">
      <c r="A6" s="2" t="s">
        <v>3472</v>
      </c>
      <c r="B6" s="2" t="s">
        <v>4141</v>
      </c>
      <c r="C6" s="2">
        <v>3000</v>
      </c>
      <c r="D6" s="2">
        <v>2000</v>
      </c>
      <c r="E6" s="2">
        <v>1000</v>
      </c>
      <c r="F6" s="2">
        <v>2000</v>
      </c>
    </row>
    <row r="7" spans="1:9">
      <c r="A7" s="2" t="s">
        <v>75</v>
      </c>
      <c r="B7" s="2" t="s">
        <v>340</v>
      </c>
      <c r="C7" s="2">
        <v>2500</v>
      </c>
      <c r="D7" s="2">
        <v>2100</v>
      </c>
      <c r="E7" s="2">
        <v>1800</v>
      </c>
      <c r="F7" s="2">
        <v>2800</v>
      </c>
    </row>
    <row r="8" spans="1:9">
      <c r="A8" s="2" t="s">
        <v>1844</v>
      </c>
      <c r="B8" s="2" t="s">
        <v>2790</v>
      </c>
      <c r="C8" s="2">
        <v>3100</v>
      </c>
      <c r="D8" s="2">
        <v>2900</v>
      </c>
      <c r="E8" s="2">
        <v>2400</v>
      </c>
      <c r="F8" s="2">
        <v>3500</v>
      </c>
    </row>
    <row r="9" spans="1:9">
      <c r="A9" s="2" t="s">
        <v>3472</v>
      </c>
      <c r="B9" s="2" t="s">
        <v>3487</v>
      </c>
      <c r="C9" s="2">
        <v>3300</v>
      </c>
      <c r="D9" s="2">
        <v>3000</v>
      </c>
      <c r="E9" s="2">
        <v>2500</v>
      </c>
      <c r="F9" s="2">
        <v>2800</v>
      </c>
    </row>
    <row r="10" spans="1:9">
      <c r="A10" s="2" t="s">
        <v>3472</v>
      </c>
      <c r="B10" s="2" t="s">
        <v>340</v>
      </c>
      <c r="C10" s="2">
        <v>5000</v>
      </c>
      <c r="D10" s="2">
        <v>4800</v>
      </c>
      <c r="E10" s="2">
        <v>2500</v>
      </c>
      <c r="F10" s="2">
        <v>6000</v>
      </c>
    </row>
    <row r="11" spans="1:9">
      <c r="A11" s="2" t="s">
        <v>3472</v>
      </c>
      <c r="B11" s="2" t="s">
        <v>2790</v>
      </c>
      <c r="C11" s="2">
        <v>3500</v>
      </c>
      <c r="D11" s="2">
        <v>3400</v>
      </c>
      <c r="E11" s="2">
        <v>2000</v>
      </c>
      <c r="F11" s="2">
        <v>3000</v>
      </c>
    </row>
  </sheetData>
  <mergeCells count="3">
    <mergeCell ref="C1:F1"/>
    <mergeCell ref="A1:A2"/>
    <mergeCell ref="B1:B2"/>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7442-7137-456F-8336-AA1895403644}">
  <sheetPr codeName="Sheet672"/>
  <dimension ref="A1:F11"/>
  <sheetViews>
    <sheetView workbookViewId="0">
      <selection activeCell="C12" sqref="C12"/>
    </sheetView>
  </sheetViews>
  <sheetFormatPr defaultRowHeight="14.4"/>
  <cols>
    <col min="2" max="2" width="10.109375" bestFit="1" customWidth="1"/>
    <col min="3" max="3" width="23.109375" bestFit="1" customWidth="1"/>
    <col min="5" max="5" width="18.109375" bestFit="1" customWidth="1"/>
    <col min="6" max="6" width="19.88671875" bestFit="1" customWidth="1"/>
  </cols>
  <sheetData>
    <row r="1" spans="1:6">
      <c r="A1" s="1" t="s">
        <v>354</v>
      </c>
      <c r="B1" s="1" t="s">
        <v>706</v>
      </c>
      <c r="C1" s="1" t="s">
        <v>5224</v>
      </c>
      <c r="E1" s="1" t="s">
        <v>354</v>
      </c>
      <c r="F1" s="2" t="s">
        <v>343</v>
      </c>
    </row>
    <row r="2" spans="1:6">
      <c r="A2" s="2" t="s">
        <v>340</v>
      </c>
      <c r="B2" s="20">
        <v>44562</v>
      </c>
      <c r="C2" s="2">
        <v>140</v>
      </c>
      <c r="E2" s="1" t="s">
        <v>5226</v>
      </c>
      <c r="F2" s="20" t="s">
        <v>5227</v>
      </c>
    </row>
    <row r="3" spans="1:6">
      <c r="A3" s="2" t="s">
        <v>341</v>
      </c>
      <c r="B3" s="20">
        <v>44569</v>
      </c>
      <c r="C3" s="2">
        <v>210</v>
      </c>
      <c r="E3" s="1" t="s">
        <v>5225</v>
      </c>
      <c r="F3" s="7">
        <f>SUMPRODUCT(--($A$2:$A$11=F1),--(DATE(2022,1,15)&lt;=$B$2:$B$11),--($B$2:$B$11&lt;DATE(2022,3,1)),C2:C11)</f>
        <v>470</v>
      </c>
    </row>
    <row r="4" spans="1:6">
      <c r="A4" s="2" t="s">
        <v>341</v>
      </c>
      <c r="B4" s="20">
        <v>44571</v>
      </c>
      <c r="C4" s="2">
        <v>200</v>
      </c>
    </row>
    <row r="5" spans="1:6">
      <c r="A5" s="2" t="s">
        <v>343</v>
      </c>
      <c r="B5" s="20">
        <v>44574</v>
      </c>
      <c r="C5" s="2">
        <v>150</v>
      </c>
    </row>
    <row r="6" spans="1:6">
      <c r="A6" s="2" t="s">
        <v>340</v>
      </c>
      <c r="B6" s="20">
        <v>44577</v>
      </c>
      <c r="C6" s="2">
        <v>190</v>
      </c>
    </row>
    <row r="7" spans="1:6">
      <c r="A7" s="2" t="s">
        <v>343</v>
      </c>
      <c r="B7" s="20">
        <v>44580</v>
      </c>
      <c r="C7" s="2">
        <v>250</v>
      </c>
    </row>
    <row r="8" spans="1:6">
      <c r="A8" s="2" t="s">
        <v>343</v>
      </c>
      <c r="B8" s="20">
        <v>44584</v>
      </c>
      <c r="C8" s="2">
        <v>220</v>
      </c>
    </row>
    <row r="9" spans="1:6">
      <c r="A9" s="2" t="s">
        <v>340</v>
      </c>
      <c r="B9" s="20">
        <v>44607</v>
      </c>
      <c r="C9" s="2">
        <v>100</v>
      </c>
    </row>
    <row r="10" spans="1:6">
      <c r="A10" s="2" t="s">
        <v>341</v>
      </c>
      <c r="B10" s="20">
        <v>44612</v>
      </c>
      <c r="C10" s="2">
        <v>130</v>
      </c>
    </row>
    <row r="11" spans="1:6">
      <c r="A11" s="2" t="s">
        <v>343</v>
      </c>
      <c r="B11" s="20">
        <v>44630</v>
      </c>
      <c r="C11" s="2">
        <v>160</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14113-2F36-4413-AF1E-15357355746F}">
  <sheetPr codeName="Sheet673"/>
  <dimension ref="A1:G11"/>
  <sheetViews>
    <sheetView workbookViewId="0">
      <selection activeCell="C12" sqref="C12"/>
    </sheetView>
  </sheetViews>
  <sheetFormatPr defaultRowHeight="14.4"/>
  <cols>
    <col min="1" max="1" width="7.5546875" bestFit="1" customWidth="1"/>
    <col min="2" max="2" width="19.5546875" bestFit="1" customWidth="1"/>
    <col min="3" max="3" width="20.44140625" bestFit="1" customWidth="1"/>
    <col min="4" max="4" width="15.5546875" bestFit="1" customWidth="1"/>
    <col min="6" max="6" width="44.109375" bestFit="1" customWidth="1"/>
    <col min="7" max="7" width="16.109375" bestFit="1" customWidth="1"/>
  </cols>
  <sheetData>
    <row r="1" spans="1:7">
      <c r="A1" s="1" t="s">
        <v>5229</v>
      </c>
      <c r="B1" s="1" t="s">
        <v>5228</v>
      </c>
      <c r="C1" s="1" t="s">
        <v>5236</v>
      </c>
      <c r="D1" s="1" t="s">
        <v>5241</v>
      </c>
      <c r="F1" s="1" t="s">
        <v>5229</v>
      </c>
      <c r="G1" s="2" t="s">
        <v>5233</v>
      </c>
    </row>
    <row r="2" spans="1:7">
      <c r="A2" s="2" t="s">
        <v>5233</v>
      </c>
      <c r="B2" s="2" t="s">
        <v>5234</v>
      </c>
      <c r="C2" s="53">
        <v>200</v>
      </c>
      <c r="D2" s="2">
        <v>5</v>
      </c>
      <c r="E2" s="105"/>
      <c r="F2" s="1" t="s">
        <v>5228</v>
      </c>
      <c r="G2" s="2" t="s">
        <v>5234</v>
      </c>
    </row>
    <row r="3" spans="1:7">
      <c r="A3" s="2" t="s">
        <v>5231</v>
      </c>
      <c r="B3" s="2" t="s">
        <v>382</v>
      </c>
      <c r="C3" s="53">
        <v>250</v>
      </c>
      <c r="D3" s="2">
        <v>3</v>
      </c>
      <c r="F3" s="1" t="s">
        <v>5242</v>
      </c>
      <c r="G3" s="67">
        <f t="array" ref="G3">SUMPRODUCT(IF(A2:A11=G1,1,0),IF(B2:B11=G2,1,0),C2:C11,D2:D11)</f>
        <v>2600</v>
      </c>
    </row>
    <row r="4" spans="1:7">
      <c r="A4" s="2" t="s">
        <v>5232</v>
      </c>
      <c r="B4" s="2" t="s">
        <v>5234</v>
      </c>
      <c r="C4" s="53">
        <v>200</v>
      </c>
      <c r="D4" s="2">
        <v>10</v>
      </c>
    </row>
    <row r="5" spans="1:7">
      <c r="A5" s="2" t="s">
        <v>5233</v>
      </c>
      <c r="B5" s="2" t="s">
        <v>5234</v>
      </c>
      <c r="C5" s="53">
        <v>200</v>
      </c>
      <c r="D5" s="2">
        <v>8</v>
      </c>
      <c r="E5" s="105"/>
    </row>
    <row r="6" spans="1:7">
      <c r="A6" s="2" t="s">
        <v>5231</v>
      </c>
      <c r="B6" s="2" t="s">
        <v>5235</v>
      </c>
      <c r="C6" s="53">
        <v>150</v>
      </c>
      <c r="D6" s="2">
        <v>1</v>
      </c>
      <c r="E6" s="105"/>
    </row>
    <row r="7" spans="1:7">
      <c r="A7" s="2" t="s">
        <v>5230</v>
      </c>
      <c r="B7" s="2" t="s">
        <v>5235</v>
      </c>
      <c r="C7" s="53">
        <v>150</v>
      </c>
      <c r="D7" s="2">
        <v>2</v>
      </c>
      <c r="E7" s="105"/>
    </row>
    <row r="8" spans="1:7">
      <c r="A8" s="2" t="s">
        <v>5232</v>
      </c>
      <c r="B8" s="2" t="s">
        <v>382</v>
      </c>
      <c r="C8" s="53">
        <v>250</v>
      </c>
      <c r="D8" s="2">
        <v>7</v>
      </c>
      <c r="E8" s="105"/>
    </row>
    <row r="9" spans="1:7">
      <c r="A9" s="2" t="s">
        <v>5233</v>
      </c>
      <c r="B9" s="2" t="s">
        <v>382</v>
      </c>
      <c r="C9" s="53">
        <v>250</v>
      </c>
      <c r="D9" s="2">
        <v>6</v>
      </c>
      <c r="E9" s="105"/>
    </row>
    <row r="10" spans="1:7">
      <c r="A10" s="2" t="s">
        <v>5230</v>
      </c>
      <c r="B10" s="2" t="s">
        <v>5234</v>
      </c>
      <c r="C10" s="53">
        <v>180</v>
      </c>
      <c r="D10" s="2">
        <v>3</v>
      </c>
      <c r="E10" s="105"/>
    </row>
    <row r="11" spans="1:7">
      <c r="A11" s="2" t="s">
        <v>5231</v>
      </c>
      <c r="B11" s="2" t="s">
        <v>5235</v>
      </c>
      <c r="C11" s="53">
        <v>100</v>
      </c>
      <c r="D11" s="2">
        <v>2</v>
      </c>
      <c r="E11" s="105"/>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B84D-0175-410B-AD40-61D6944A9835}">
  <sheetPr codeName="Sheet674"/>
  <dimension ref="A1:C16"/>
  <sheetViews>
    <sheetView workbookViewId="0"/>
  </sheetViews>
  <sheetFormatPr defaultRowHeight="14.4"/>
  <cols>
    <col min="1" max="1" width="13.109375" bestFit="1" customWidth="1"/>
    <col min="2" max="2" width="14.44140625" bestFit="1" customWidth="1"/>
    <col min="3" max="3" width="15.88671875" bestFit="1" customWidth="1"/>
  </cols>
  <sheetData>
    <row r="1" spans="1:3">
      <c r="A1" s="1" t="s">
        <v>130</v>
      </c>
      <c r="B1" s="1" t="s">
        <v>5237</v>
      </c>
      <c r="C1" s="1" t="s">
        <v>5238</v>
      </c>
    </row>
    <row r="2" spans="1:3">
      <c r="A2" s="2" t="s">
        <v>3983</v>
      </c>
      <c r="B2" s="2">
        <v>104</v>
      </c>
      <c r="C2" s="53">
        <v>50</v>
      </c>
    </row>
    <row r="3" spans="1:3">
      <c r="A3" s="2" t="s">
        <v>3984</v>
      </c>
      <c r="B3" s="2">
        <v>210</v>
      </c>
      <c r="C3" s="53">
        <v>25</v>
      </c>
    </row>
    <row r="4" spans="1:3">
      <c r="A4" s="2" t="s">
        <v>3985</v>
      </c>
      <c r="B4" s="2">
        <v>100</v>
      </c>
      <c r="C4" s="53">
        <v>10</v>
      </c>
    </row>
    <row r="5" spans="1:3">
      <c r="A5" s="2" t="s">
        <v>3984</v>
      </c>
      <c r="B5" s="2">
        <v>95</v>
      </c>
      <c r="C5" s="53">
        <v>25</v>
      </c>
    </row>
    <row r="6" spans="1:3">
      <c r="A6" s="2" t="s">
        <v>3985</v>
      </c>
      <c r="B6" s="2">
        <v>130</v>
      </c>
      <c r="C6" s="53">
        <v>10</v>
      </c>
    </row>
    <row r="7" spans="1:3">
      <c r="A7" s="2" t="s">
        <v>3983</v>
      </c>
      <c r="B7" s="2">
        <v>190</v>
      </c>
      <c r="C7" s="53">
        <v>50</v>
      </c>
    </row>
    <row r="8" spans="1:3">
      <c r="A8" s="2" t="s">
        <v>3984</v>
      </c>
      <c r="B8" s="2">
        <v>250</v>
      </c>
      <c r="C8" s="53">
        <v>25</v>
      </c>
    </row>
    <row r="9" spans="1:3">
      <c r="A9" s="2" t="s">
        <v>3986</v>
      </c>
      <c r="B9" s="2">
        <v>240</v>
      </c>
      <c r="C9" s="53">
        <v>90</v>
      </c>
    </row>
    <row r="10" spans="1:3">
      <c r="A10" s="2" t="s">
        <v>3985</v>
      </c>
      <c r="B10" s="2">
        <v>145</v>
      </c>
      <c r="C10" s="53">
        <v>10</v>
      </c>
    </row>
    <row r="11" spans="1:3">
      <c r="A11" s="2" t="s">
        <v>3986</v>
      </c>
      <c r="B11" s="2">
        <v>200</v>
      </c>
      <c r="C11" s="53">
        <v>90</v>
      </c>
    </row>
    <row r="13" spans="1:3">
      <c r="A13" s="369" t="s">
        <v>130</v>
      </c>
      <c r="B13" s="2" t="s">
        <v>3984</v>
      </c>
    </row>
    <row r="14" spans="1:3">
      <c r="A14" s="369"/>
      <c r="B14" s="1" t="s">
        <v>5239</v>
      </c>
    </row>
    <row r="15" spans="1:3">
      <c r="A15" s="369"/>
      <c r="B15" s="2" t="s">
        <v>3985</v>
      </c>
    </row>
    <row r="16" spans="1:3">
      <c r="A16" s="1" t="s">
        <v>5240</v>
      </c>
      <c r="B16" s="67">
        <f>SUMPRODUCT((A2:A11=B13)+(A2:A11=B15),B2:B11,C2:C11)</f>
        <v>17625</v>
      </c>
    </row>
  </sheetData>
  <mergeCells count="1">
    <mergeCell ref="A13:A15"/>
  </mergeCells>
  <pageMargins left="0.7" right="0.7" top="0.75" bottom="0.75" header="0.3" footer="0.3"/>
  <pageSetup orientation="portrait" horizontalDpi="4294967293" verticalDpi="0" r:id="rId1"/>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02051-9F80-48AF-A15B-9A8B95539C51}">
  <sheetPr codeName="Sheet675"/>
  <dimension ref="A1:C6"/>
  <sheetViews>
    <sheetView workbookViewId="0">
      <selection activeCell="B1" sqref="B1:D1"/>
    </sheetView>
  </sheetViews>
  <sheetFormatPr defaultRowHeight="14.4"/>
  <cols>
    <col min="1" max="1" width="11.5546875" bestFit="1" customWidth="1"/>
    <col min="2" max="2" width="21.44140625" bestFit="1" customWidth="1"/>
    <col min="3" max="3" width="22" bestFit="1" customWidth="1"/>
  </cols>
  <sheetData>
    <row r="1" spans="1:3">
      <c r="A1" s="1" t="s">
        <v>97</v>
      </c>
      <c r="B1" s="1" t="s">
        <v>5243</v>
      </c>
      <c r="C1" s="1" t="s">
        <v>5244</v>
      </c>
    </row>
    <row r="2" spans="1:3">
      <c r="A2" s="2" t="s">
        <v>394</v>
      </c>
      <c r="B2" s="2">
        <v>100</v>
      </c>
      <c r="C2" s="2">
        <v>95</v>
      </c>
    </row>
    <row r="3" spans="1:3">
      <c r="A3" s="2" t="s">
        <v>395</v>
      </c>
      <c r="B3" s="2">
        <v>98</v>
      </c>
      <c r="C3" s="2">
        <v>100</v>
      </c>
    </row>
    <row r="4" spans="1:3">
      <c r="A4" s="2" t="s">
        <v>396</v>
      </c>
      <c r="B4" s="2">
        <v>95</v>
      </c>
      <c r="C4" s="2">
        <v>90</v>
      </c>
    </row>
    <row r="5" spans="1:3">
      <c r="A5" s="2" t="s">
        <v>397</v>
      </c>
      <c r="B5" s="2">
        <v>90</v>
      </c>
      <c r="C5" s="2">
        <v>85</v>
      </c>
    </row>
    <row r="6" spans="1:3">
      <c r="A6" s="2" t="s">
        <v>101</v>
      </c>
      <c r="B6" s="2">
        <v>85</v>
      </c>
      <c r="C6" s="2">
        <v>94</v>
      </c>
    </row>
  </sheetData>
  <pageMargins left="0.7" right="0.7" top="0.75" bottom="0.75" header="0.3" footer="0.3"/>
  <pageSetup orientation="portrait" horizontalDpi="4294967293" verticalDpi="0" r:id="rId1"/>
  <drawing r:id="rId2"/>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B6B9-1D51-4B31-BEBD-30C27520D65E}">
  <sheetPr codeName="Sheet676"/>
  <dimension ref="A1:C7"/>
  <sheetViews>
    <sheetView workbookViewId="0">
      <selection activeCell="B1" sqref="B1:D1"/>
    </sheetView>
  </sheetViews>
  <sheetFormatPr defaultRowHeight="14.4"/>
  <cols>
    <col min="1" max="1" width="6.5546875" bestFit="1" customWidth="1"/>
    <col min="2" max="3" width="16.109375" bestFit="1" customWidth="1"/>
  </cols>
  <sheetData>
    <row r="1" spans="1:3">
      <c r="A1" s="1" t="s">
        <v>32</v>
      </c>
      <c r="B1" s="1" t="s">
        <v>5245</v>
      </c>
      <c r="C1" s="1" t="s">
        <v>5246</v>
      </c>
    </row>
    <row r="2" spans="1:3">
      <c r="A2" s="2" t="s">
        <v>307</v>
      </c>
      <c r="B2" s="53">
        <v>2100</v>
      </c>
      <c r="C2" s="53">
        <v>2500</v>
      </c>
    </row>
    <row r="3" spans="1:3">
      <c r="A3" s="2" t="s">
        <v>308</v>
      </c>
      <c r="B3" s="53">
        <v>1500</v>
      </c>
      <c r="C3" s="53">
        <v>2000</v>
      </c>
    </row>
    <row r="4" spans="1:3">
      <c r="A4" s="2" t="s">
        <v>309</v>
      </c>
      <c r="B4" s="53">
        <v>3000</v>
      </c>
      <c r="C4" s="53">
        <v>4000</v>
      </c>
    </row>
    <row r="5" spans="1:3">
      <c r="A5" s="2" t="s">
        <v>310</v>
      </c>
      <c r="B5" s="53">
        <v>1900</v>
      </c>
      <c r="C5" s="53">
        <v>2200</v>
      </c>
    </row>
    <row r="6" spans="1:3">
      <c r="A6" s="2" t="s">
        <v>51</v>
      </c>
      <c r="B6" s="53">
        <v>1800</v>
      </c>
      <c r="C6" s="53">
        <v>1500</v>
      </c>
    </row>
    <row r="7" spans="1:3">
      <c r="A7" s="2" t="s">
        <v>311</v>
      </c>
      <c r="B7" s="53">
        <v>2400</v>
      </c>
      <c r="C7" s="53">
        <v>2900</v>
      </c>
    </row>
  </sheetData>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4D71-3794-495D-99B7-A27234A03888}">
  <sheetPr codeName="Sheet677"/>
  <dimension ref="A1:D7"/>
  <sheetViews>
    <sheetView workbookViewId="0">
      <selection activeCell="B1" sqref="B1:D1"/>
    </sheetView>
  </sheetViews>
  <sheetFormatPr defaultRowHeight="14.4"/>
  <cols>
    <col min="1" max="4" width="8.6640625" customWidth="1"/>
  </cols>
  <sheetData>
    <row r="1" spans="1:4">
      <c r="B1" s="400" t="s">
        <v>5247</v>
      </c>
      <c r="C1" s="368"/>
      <c r="D1" s="368"/>
    </row>
    <row r="2" spans="1:4">
      <c r="A2" s="1" t="s">
        <v>5265</v>
      </c>
      <c r="B2" s="1" t="s">
        <v>347</v>
      </c>
      <c r="C2" s="1" t="s">
        <v>348</v>
      </c>
      <c r="D2" s="1" t="s">
        <v>349</v>
      </c>
    </row>
    <row r="3" spans="1:4">
      <c r="A3" s="2" t="s">
        <v>5251</v>
      </c>
      <c r="B3" s="95">
        <v>23</v>
      </c>
      <c r="C3" s="95">
        <v>14</v>
      </c>
      <c r="D3" s="95">
        <v>9</v>
      </c>
    </row>
    <row r="4" spans="1:4">
      <c r="A4" s="2" t="s">
        <v>5252</v>
      </c>
      <c r="B4" s="95">
        <v>29</v>
      </c>
      <c r="C4" s="95">
        <v>17</v>
      </c>
      <c r="D4" s="95">
        <v>13</v>
      </c>
    </row>
    <row r="5" spans="1:4">
      <c r="A5" s="2" t="s">
        <v>5248</v>
      </c>
      <c r="B5" s="95">
        <v>33</v>
      </c>
      <c r="C5" s="95">
        <v>20</v>
      </c>
      <c r="D5" s="95">
        <v>16</v>
      </c>
    </row>
    <row r="6" spans="1:4">
      <c r="A6" s="2" t="s">
        <v>5249</v>
      </c>
      <c r="B6" s="95">
        <v>37</v>
      </c>
      <c r="C6" s="95">
        <v>25</v>
      </c>
      <c r="D6" s="95">
        <v>18</v>
      </c>
    </row>
    <row r="7" spans="1:4">
      <c r="A7" s="2" t="s">
        <v>5250</v>
      </c>
      <c r="B7" s="95">
        <v>39</v>
      </c>
      <c r="C7" s="95">
        <v>29</v>
      </c>
      <c r="D7" s="95">
        <v>21</v>
      </c>
    </row>
  </sheetData>
  <mergeCells count="1">
    <mergeCell ref="B1:D1"/>
  </mergeCells>
  <pageMargins left="0.7" right="0.7" top="0.75" bottom="0.75" header="0.3" footer="0.3"/>
  <pageSetup orientation="portrait" horizontalDpi="4294967293" verticalDpi="0" r:id="rId1"/>
  <drawing r:id="rId2"/>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B876B-67B5-4E37-9576-35E044F50037}">
  <sheetPr codeName="Sheet678"/>
  <dimension ref="A1:B5"/>
  <sheetViews>
    <sheetView workbookViewId="0">
      <selection activeCell="B1" sqref="B1:D1"/>
    </sheetView>
  </sheetViews>
  <sheetFormatPr defaultRowHeight="14.4"/>
  <cols>
    <col min="1" max="1" width="12.5546875" bestFit="1" customWidth="1"/>
    <col min="2" max="2" width="10.88671875" bestFit="1" customWidth="1"/>
  </cols>
  <sheetData>
    <row r="1" spans="1:2">
      <c r="A1" s="1" t="s">
        <v>5253</v>
      </c>
      <c r="B1" s="1" t="s">
        <v>3143</v>
      </c>
    </row>
    <row r="2" spans="1:2">
      <c r="A2" s="2" t="s">
        <v>3146</v>
      </c>
      <c r="B2" s="338">
        <v>28000</v>
      </c>
    </row>
    <row r="3" spans="1:2">
      <c r="A3" s="2" t="s">
        <v>3147</v>
      </c>
      <c r="B3" s="338">
        <v>35000</v>
      </c>
    </row>
    <row r="4" spans="1:2">
      <c r="A4" s="2" t="s">
        <v>3148</v>
      </c>
      <c r="B4" s="338">
        <v>42000</v>
      </c>
    </row>
    <row r="5" spans="1:2">
      <c r="A5" s="2" t="s">
        <v>3149</v>
      </c>
      <c r="B5" s="338">
        <v>15000</v>
      </c>
    </row>
  </sheetData>
  <pageMargins left="0.7" right="0.7" top="0.75" bottom="0.75" header="0.3" footer="0.3"/>
  <pageSetup orientation="portrait" horizontalDpi="4294967293" verticalDpi="0" r:id="rId1"/>
  <drawing r:id="rId2"/>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72F8-F574-4BD1-8EB0-0798583CAE56}">
  <sheetPr codeName="Sheet679"/>
  <dimension ref="A1:D7"/>
  <sheetViews>
    <sheetView workbookViewId="0">
      <selection activeCell="B1" sqref="B1:D1"/>
    </sheetView>
  </sheetViews>
  <sheetFormatPr defaultRowHeight="14.4"/>
  <cols>
    <col min="1" max="1" width="6.5546875" bestFit="1" customWidth="1"/>
    <col min="2" max="3" width="18.109375" bestFit="1" customWidth="1"/>
    <col min="4" max="4" width="19.6640625" bestFit="1" customWidth="1"/>
  </cols>
  <sheetData>
    <row r="1" spans="1:4">
      <c r="A1" s="1" t="s">
        <v>32</v>
      </c>
      <c r="B1" s="1" t="s">
        <v>60</v>
      </c>
      <c r="C1" s="1" t="s">
        <v>129</v>
      </c>
      <c r="D1" s="1" t="s">
        <v>61</v>
      </c>
    </row>
    <row r="2" spans="1:4">
      <c r="A2" s="2" t="s">
        <v>307</v>
      </c>
      <c r="B2" s="338">
        <v>5000</v>
      </c>
      <c r="C2" s="338">
        <v>1000</v>
      </c>
      <c r="D2" s="338">
        <v>800</v>
      </c>
    </row>
    <row r="3" spans="1:4">
      <c r="A3" s="2" t="s">
        <v>308</v>
      </c>
      <c r="B3" s="338">
        <v>7500</v>
      </c>
      <c r="C3" s="338">
        <v>2500</v>
      </c>
      <c r="D3" s="338">
        <v>1000</v>
      </c>
    </row>
    <row r="4" spans="1:4">
      <c r="A4" s="2" t="s">
        <v>309</v>
      </c>
      <c r="B4" s="338">
        <v>4700</v>
      </c>
      <c r="C4" s="338">
        <v>500</v>
      </c>
      <c r="D4" s="338">
        <v>1100</v>
      </c>
    </row>
    <row r="5" spans="1:4">
      <c r="A5" s="2" t="s">
        <v>310</v>
      </c>
      <c r="B5" s="338">
        <v>6000</v>
      </c>
      <c r="C5" s="338">
        <v>2000</v>
      </c>
      <c r="D5" s="338">
        <v>600</v>
      </c>
    </row>
    <row r="6" spans="1:4">
      <c r="A6" s="2" t="s">
        <v>51</v>
      </c>
      <c r="B6" s="338">
        <v>5400</v>
      </c>
      <c r="C6" s="338">
        <v>1300</v>
      </c>
      <c r="D6" s="338">
        <v>500</v>
      </c>
    </row>
    <row r="7" spans="1:4">
      <c r="A7" s="2" t="s">
        <v>311</v>
      </c>
      <c r="B7" s="338">
        <v>6800</v>
      </c>
      <c r="C7" s="338">
        <v>3000</v>
      </c>
      <c r="D7" s="338">
        <v>1200</v>
      </c>
    </row>
  </sheetData>
  <pageMargins left="0.7" right="0.7" top="0.75" bottom="0.75" header="0.3" footer="0.3"/>
  <drawing r:id="rId1"/>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81B3-1BB2-4BB6-8569-61ED914C04FD}">
  <sheetPr codeName="Sheet680"/>
  <dimension ref="A1:D7"/>
  <sheetViews>
    <sheetView workbookViewId="0">
      <selection activeCell="B1" sqref="B1:D1"/>
    </sheetView>
  </sheetViews>
  <sheetFormatPr defaultRowHeight="14.4"/>
  <cols>
    <col min="1" max="1" width="14.109375" bestFit="1" customWidth="1"/>
    <col min="3" max="3" width="9.33203125" bestFit="1" customWidth="1"/>
  </cols>
  <sheetData>
    <row r="1" spans="1:4">
      <c r="B1" s="400" t="s">
        <v>5259</v>
      </c>
      <c r="C1" s="368"/>
      <c r="D1" s="368"/>
    </row>
    <row r="2" spans="1:4">
      <c r="A2" s="1" t="s">
        <v>0</v>
      </c>
      <c r="B2" s="1" t="s">
        <v>395</v>
      </c>
      <c r="C2" s="1" t="s">
        <v>396</v>
      </c>
      <c r="D2" s="1" t="s">
        <v>397</v>
      </c>
    </row>
    <row r="3" spans="1:4">
      <c r="A3" s="2" t="s">
        <v>5254</v>
      </c>
      <c r="B3" s="95">
        <v>50</v>
      </c>
      <c r="C3" s="95">
        <v>45</v>
      </c>
      <c r="D3" s="95">
        <v>38</v>
      </c>
    </row>
    <row r="4" spans="1:4">
      <c r="A4" s="2" t="s">
        <v>5255</v>
      </c>
      <c r="B4" s="95">
        <v>44</v>
      </c>
      <c r="C4" s="95">
        <v>40</v>
      </c>
      <c r="D4" s="95">
        <v>35</v>
      </c>
    </row>
    <row r="5" spans="1:4">
      <c r="A5" s="2" t="s">
        <v>5256</v>
      </c>
      <c r="B5" s="95">
        <v>47</v>
      </c>
      <c r="C5" s="95">
        <v>41</v>
      </c>
      <c r="D5" s="95">
        <v>40</v>
      </c>
    </row>
    <row r="6" spans="1:4">
      <c r="A6" s="2" t="s">
        <v>5257</v>
      </c>
      <c r="B6" s="95">
        <v>35</v>
      </c>
      <c r="C6" s="95">
        <v>30</v>
      </c>
      <c r="D6" s="95">
        <v>25</v>
      </c>
    </row>
    <row r="7" spans="1:4">
      <c r="A7" s="2" t="s">
        <v>5258</v>
      </c>
      <c r="B7" s="95">
        <v>39</v>
      </c>
      <c r="C7" s="95">
        <v>29</v>
      </c>
      <c r="D7" s="95">
        <v>21</v>
      </c>
    </row>
  </sheetData>
  <mergeCells count="1">
    <mergeCell ref="B1:D1"/>
  </mergeCell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778-7949-4BBB-8DB0-96AB0B62FD01}">
  <sheetPr codeName="Sheet681"/>
  <dimension ref="A1:B11"/>
  <sheetViews>
    <sheetView workbookViewId="0">
      <selection activeCell="B1" sqref="B1:D1"/>
    </sheetView>
  </sheetViews>
  <sheetFormatPr defaultRowHeight="14.4"/>
  <cols>
    <col min="1" max="1" width="12.5546875" bestFit="1" customWidth="1"/>
    <col min="2" max="2" width="19.109375" bestFit="1" customWidth="1"/>
  </cols>
  <sheetData>
    <row r="1" spans="1:2">
      <c r="A1" s="1" t="s">
        <v>5266</v>
      </c>
      <c r="B1" s="1" t="s">
        <v>4914</v>
      </c>
    </row>
    <row r="2" spans="1:2">
      <c r="A2" s="2">
        <v>10</v>
      </c>
      <c r="B2" s="2">
        <v>65</v>
      </c>
    </row>
    <row r="3" spans="1:2">
      <c r="A3" s="2">
        <v>13</v>
      </c>
      <c r="B3" s="2">
        <v>85</v>
      </c>
    </row>
    <row r="4" spans="1:2">
      <c r="A4" s="2">
        <v>5</v>
      </c>
      <c r="B4" s="2">
        <v>45</v>
      </c>
    </row>
    <row r="5" spans="1:2">
      <c r="A5" s="2">
        <v>11</v>
      </c>
      <c r="B5" s="2">
        <v>70</v>
      </c>
    </row>
    <row r="6" spans="1:2">
      <c r="A6" s="2">
        <v>14</v>
      </c>
      <c r="B6" s="2">
        <v>90</v>
      </c>
    </row>
    <row r="7" spans="1:2">
      <c r="A7" s="2">
        <v>9</v>
      </c>
      <c r="B7" s="2">
        <v>59</v>
      </c>
    </row>
    <row r="8" spans="1:2">
      <c r="A8" s="2">
        <v>7</v>
      </c>
      <c r="B8" s="2">
        <v>50</v>
      </c>
    </row>
    <row r="9" spans="1:2">
      <c r="A9" s="2">
        <v>15</v>
      </c>
      <c r="B9" s="2">
        <v>99</v>
      </c>
    </row>
    <row r="10" spans="1:2">
      <c r="A10" s="2">
        <v>12</v>
      </c>
      <c r="B10" s="2">
        <v>76</v>
      </c>
    </row>
    <row r="11" spans="1:2">
      <c r="A11" s="2">
        <v>8</v>
      </c>
      <c r="B11" s="2">
        <v>53</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750-10A1-47E1-8D2C-F7C5EB5DD4B7}">
  <sheetPr codeName="Sheet682"/>
  <dimension ref="A1:D7"/>
  <sheetViews>
    <sheetView workbookViewId="0">
      <selection activeCell="B1" sqref="B1:D1"/>
    </sheetView>
  </sheetViews>
  <sheetFormatPr defaultRowHeight="14.4"/>
  <cols>
    <col min="1" max="1" width="6.33203125" bestFit="1" customWidth="1"/>
    <col min="2" max="2" width="16.109375" bestFit="1" customWidth="1"/>
    <col min="3" max="3" width="15.6640625" bestFit="1" customWidth="1"/>
    <col min="4" max="4" width="19.109375" bestFit="1" customWidth="1"/>
  </cols>
  <sheetData>
    <row r="1" spans="1:4">
      <c r="B1" s="371" t="s">
        <v>3085</v>
      </c>
      <c r="C1" s="372"/>
      <c r="D1" s="373"/>
    </row>
    <row r="2" spans="1:4">
      <c r="A2" s="1" t="s">
        <v>670</v>
      </c>
      <c r="B2" s="1" t="s">
        <v>3082</v>
      </c>
      <c r="C2" s="1" t="s">
        <v>3083</v>
      </c>
      <c r="D2" s="1" t="s">
        <v>3084</v>
      </c>
    </row>
    <row r="3" spans="1:4">
      <c r="A3" s="185">
        <v>44723</v>
      </c>
      <c r="B3" s="2">
        <v>36</v>
      </c>
      <c r="C3" s="2">
        <v>22</v>
      </c>
      <c r="D3" s="2">
        <v>32</v>
      </c>
    </row>
    <row r="4" spans="1:4">
      <c r="A4" s="185">
        <v>44724</v>
      </c>
      <c r="B4" s="2">
        <v>34</v>
      </c>
      <c r="C4" s="2">
        <v>21</v>
      </c>
      <c r="D4" s="2">
        <v>34</v>
      </c>
    </row>
    <row r="5" spans="1:4">
      <c r="A5" s="185">
        <v>44725</v>
      </c>
      <c r="B5" s="2">
        <v>31</v>
      </c>
      <c r="C5" s="2">
        <v>19</v>
      </c>
      <c r="D5" s="2">
        <v>30</v>
      </c>
    </row>
    <row r="6" spans="1:4">
      <c r="A6" s="185">
        <v>44726</v>
      </c>
      <c r="B6" s="2">
        <v>35</v>
      </c>
      <c r="C6" s="2">
        <v>24</v>
      </c>
      <c r="D6" s="2">
        <v>33</v>
      </c>
    </row>
    <row r="7" spans="1:4">
      <c r="A7" s="185">
        <v>44727</v>
      </c>
      <c r="B7" s="2">
        <v>32</v>
      </c>
      <c r="C7" s="2">
        <v>20</v>
      </c>
      <c r="D7" s="2">
        <v>34</v>
      </c>
    </row>
  </sheetData>
  <mergeCells count="1">
    <mergeCell ref="B1:D1"/>
  </mergeCells>
  <pageMargins left="0.7" right="0.7" top="0.75" bottom="0.75" header="0.3" footer="0.3"/>
  <drawing r:id="rId1"/>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E35-A61B-404C-B0AA-988B5A9F0C37}">
  <sheetPr codeName="Sheet683"/>
  <dimension ref="A1:D6"/>
  <sheetViews>
    <sheetView workbookViewId="0">
      <selection activeCell="D1" sqref="D1"/>
    </sheetView>
  </sheetViews>
  <sheetFormatPr defaultRowHeight="14.4"/>
  <cols>
    <col min="1" max="1" width="15.33203125" bestFit="1" customWidth="1"/>
    <col min="2" max="4" width="17.109375" bestFit="1" customWidth="1"/>
  </cols>
  <sheetData>
    <row r="1" spans="1:4">
      <c r="A1" s="1" t="s">
        <v>5262</v>
      </c>
      <c r="B1" s="1" t="s">
        <v>5267</v>
      </c>
      <c r="C1" s="1" t="s">
        <v>5268</v>
      </c>
      <c r="D1" s="1" t="s">
        <v>5269</v>
      </c>
    </row>
    <row r="2" spans="1:4">
      <c r="A2" s="2" t="s">
        <v>3904</v>
      </c>
      <c r="B2" s="2">
        <v>4.5</v>
      </c>
      <c r="C2" s="2">
        <v>4.0999999999999996</v>
      </c>
      <c r="D2" s="2">
        <v>4.5</v>
      </c>
    </row>
    <row r="3" spans="1:4">
      <c r="A3" s="2" t="s">
        <v>5261</v>
      </c>
      <c r="B3" s="2">
        <v>5</v>
      </c>
      <c r="C3" s="2">
        <v>4.2</v>
      </c>
      <c r="D3" s="2">
        <v>4.9000000000000004</v>
      </c>
    </row>
    <row r="4" spans="1:4">
      <c r="A4" s="2" t="s">
        <v>5260</v>
      </c>
      <c r="B4" s="2">
        <v>4.7</v>
      </c>
      <c r="C4" s="2">
        <v>4.4000000000000004</v>
      </c>
      <c r="D4" s="2">
        <v>4.5999999999999996</v>
      </c>
    </row>
    <row r="5" spans="1:4">
      <c r="A5" s="2" t="s">
        <v>3902</v>
      </c>
      <c r="B5" s="2">
        <v>4.3</v>
      </c>
      <c r="C5" s="2">
        <v>3.5</v>
      </c>
      <c r="D5" s="2">
        <v>3</v>
      </c>
    </row>
    <row r="6" spans="1:4">
      <c r="A6" s="2" t="s">
        <v>5263</v>
      </c>
      <c r="B6" s="2">
        <v>4.5999999999999996</v>
      </c>
      <c r="C6" s="2">
        <v>4.5</v>
      </c>
      <c r="D6" s="2">
        <v>4.8</v>
      </c>
    </row>
  </sheetData>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2BBC-5542-4E07-A338-8EE2FDBE4758}">
  <sheetPr codeName="Sheet684"/>
  <dimension ref="A1:A11"/>
  <sheetViews>
    <sheetView workbookViewId="0">
      <selection activeCell="D1" sqref="D1"/>
    </sheetView>
  </sheetViews>
  <sheetFormatPr defaultRowHeight="14.4"/>
  <cols>
    <col min="1" max="1" width="18.109375" bestFit="1" customWidth="1"/>
  </cols>
  <sheetData>
    <row r="1" spans="1:1">
      <c r="A1" s="1" t="s">
        <v>5264</v>
      </c>
    </row>
    <row r="2" spans="1:1">
      <c r="A2" s="2">
        <v>25</v>
      </c>
    </row>
    <row r="3" spans="1:1">
      <c r="A3" s="2">
        <v>15</v>
      </c>
    </row>
    <row r="4" spans="1:1">
      <c r="A4" s="2">
        <v>22</v>
      </c>
    </row>
    <row r="5" spans="1:1">
      <c r="A5" s="2">
        <v>30</v>
      </c>
    </row>
    <row r="6" spans="1:1">
      <c r="A6" s="2">
        <v>23</v>
      </c>
    </row>
    <row r="7" spans="1:1">
      <c r="A7" s="2">
        <v>32</v>
      </c>
    </row>
    <row r="8" spans="1:1">
      <c r="A8" s="2">
        <v>33</v>
      </c>
    </row>
    <row r="9" spans="1:1">
      <c r="A9" s="2">
        <v>39</v>
      </c>
    </row>
    <row r="10" spans="1:1">
      <c r="A10" s="2">
        <v>36</v>
      </c>
    </row>
    <row r="11" spans="1:1">
      <c r="A11" s="2">
        <v>34</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2B9F-590D-41C6-9DBE-F84CC1702268}">
  <sheetPr codeName="Sheet685"/>
  <dimension ref="A1:B7"/>
  <sheetViews>
    <sheetView workbookViewId="0"/>
  </sheetViews>
  <sheetFormatPr defaultRowHeight="14.4"/>
  <cols>
    <col min="1" max="1" width="8.6640625" customWidth="1"/>
    <col min="2" max="2" width="14" bestFit="1" customWidth="1"/>
  </cols>
  <sheetData>
    <row r="1" spans="1:2">
      <c r="A1" s="1" t="s">
        <v>32</v>
      </c>
      <c r="B1" s="1" t="s">
        <v>3743</v>
      </c>
    </row>
    <row r="2" spans="1:2">
      <c r="A2" s="2" t="s">
        <v>307</v>
      </c>
      <c r="B2" s="338">
        <v>100000</v>
      </c>
    </row>
    <row r="3" spans="1:2">
      <c r="A3" s="2" t="s">
        <v>308</v>
      </c>
      <c r="B3" s="338">
        <v>150000</v>
      </c>
    </row>
    <row r="4" spans="1:2">
      <c r="A4" s="2" t="s">
        <v>309</v>
      </c>
      <c r="B4" s="338">
        <v>-50000</v>
      </c>
    </row>
    <row r="5" spans="1:2">
      <c r="A5" s="2" t="s">
        <v>310</v>
      </c>
      <c r="B5" s="338">
        <v>160000</v>
      </c>
    </row>
    <row r="6" spans="1:2">
      <c r="A6" s="2" t="s">
        <v>51</v>
      </c>
      <c r="B6" s="338">
        <v>-60000</v>
      </c>
    </row>
    <row r="7" spans="1:2">
      <c r="A7" s="2" t="s">
        <v>311</v>
      </c>
      <c r="B7" s="338">
        <v>300000</v>
      </c>
    </row>
  </sheetData>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AA45-71E0-4FF1-AF63-11CC9746A815}">
  <sheetPr codeName="Sheet686"/>
  <dimension ref="A1:D11"/>
  <sheetViews>
    <sheetView workbookViewId="0">
      <selection activeCell="D1" sqref="D1"/>
    </sheetView>
  </sheetViews>
  <sheetFormatPr defaultRowHeight="14.4"/>
  <cols>
    <col min="1" max="1" width="18.109375" bestFit="1" customWidth="1"/>
    <col min="3" max="3" width="28.5546875" bestFit="1" customWidth="1"/>
  </cols>
  <sheetData>
    <row r="1" spans="1:4">
      <c r="A1" s="1" t="s">
        <v>5270</v>
      </c>
      <c r="C1" s="1" t="s">
        <v>5271</v>
      </c>
      <c r="D1" s="7">
        <f>_xlfn.Z.TEST(A2:A11,41)</f>
        <v>0.73320756661091968</v>
      </c>
    </row>
    <row r="2" spans="1:4">
      <c r="A2" s="2">
        <v>40</v>
      </c>
    </row>
    <row r="3" spans="1:4">
      <c r="A3" s="2">
        <v>35</v>
      </c>
    </row>
    <row r="4" spans="1:4">
      <c r="A4" s="2">
        <v>25</v>
      </c>
    </row>
    <row r="5" spans="1:4">
      <c r="A5" s="2">
        <v>33</v>
      </c>
    </row>
    <row r="6" spans="1:4">
      <c r="A6" s="2">
        <v>49</v>
      </c>
    </row>
    <row r="7" spans="1:4">
      <c r="A7" s="2">
        <v>38</v>
      </c>
    </row>
    <row r="8" spans="1:4">
      <c r="A8" s="2">
        <v>48</v>
      </c>
    </row>
    <row r="9" spans="1:4">
      <c r="A9" s="2">
        <v>45</v>
      </c>
    </row>
    <row r="10" spans="1:4">
      <c r="A10" s="2">
        <v>36</v>
      </c>
    </row>
    <row r="11" spans="1:4">
      <c r="A11" s="2">
        <v>46</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6046-37CC-4A9E-B348-0FF249748F13}">
  <sheetPr codeName="Sheet687"/>
  <dimension ref="A1:D11"/>
  <sheetViews>
    <sheetView workbookViewId="0">
      <selection activeCell="D1" sqref="D1"/>
    </sheetView>
  </sheetViews>
  <sheetFormatPr defaultRowHeight="14.4"/>
  <cols>
    <col min="1" max="1" width="16" bestFit="1" customWidth="1"/>
    <col min="3" max="3" width="33.5546875" bestFit="1" customWidth="1"/>
  </cols>
  <sheetData>
    <row r="1" spans="1:4">
      <c r="A1" s="1" t="s">
        <v>4874</v>
      </c>
      <c r="C1" s="1" t="s">
        <v>5272</v>
      </c>
      <c r="D1" s="2">
        <v>35</v>
      </c>
    </row>
    <row r="2" spans="1:4">
      <c r="A2" s="2">
        <v>38</v>
      </c>
      <c r="C2" s="1" t="s">
        <v>5271</v>
      </c>
      <c r="D2" s="7">
        <f>_xlfn.Z.TEST(A2:A11,D1)</f>
        <v>9.5339495006867606E-4</v>
      </c>
    </row>
    <row r="3" spans="1:4">
      <c r="A3" s="2">
        <v>40</v>
      </c>
    </row>
    <row r="4" spans="1:4">
      <c r="A4" s="2">
        <v>36</v>
      </c>
    </row>
    <row r="5" spans="1:4">
      <c r="A5" s="2">
        <v>39</v>
      </c>
    </row>
    <row r="6" spans="1:4">
      <c r="A6" s="2">
        <v>45</v>
      </c>
    </row>
    <row r="7" spans="1:4">
      <c r="A7" s="2">
        <v>50</v>
      </c>
    </row>
    <row r="8" spans="1:4">
      <c r="A8" s="2">
        <v>48</v>
      </c>
    </row>
    <row r="9" spans="1:4">
      <c r="A9" s="2">
        <v>35</v>
      </c>
    </row>
    <row r="10" spans="1:4">
      <c r="A10" s="2">
        <v>33</v>
      </c>
    </row>
    <row r="11" spans="1:4">
      <c r="A11" s="2">
        <v>41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88AA-24D4-44C0-A4B4-AE5190BBBA4B}">
  <sheetPr codeName="Sheet688"/>
  <dimension ref="A1:I11"/>
  <sheetViews>
    <sheetView workbookViewId="0">
      <selection activeCell="D1" sqref="D1"/>
    </sheetView>
  </sheetViews>
  <sheetFormatPr defaultRowHeight="14.4"/>
  <cols>
    <col min="1" max="1" width="20.6640625" bestFit="1" customWidth="1"/>
    <col min="3" max="3" width="36.109375" bestFit="1" customWidth="1"/>
    <col min="4" max="4" width="9.6640625" bestFit="1" customWidth="1"/>
    <col min="5" max="5" width="8.6640625" customWidth="1"/>
  </cols>
  <sheetData>
    <row r="1" spans="1:9">
      <c r="A1" s="1" t="s">
        <v>5273</v>
      </c>
      <c r="C1" s="1" t="s">
        <v>622</v>
      </c>
      <c r="D1" s="1" t="s">
        <v>2887</v>
      </c>
      <c r="E1" s="1" t="s">
        <v>1727</v>
      </c>
    </row>
    <row r="2" spans="1:9">
      <c r="A2" s="82">
        <v>0.01</v>
      </c>
      <c r="C2" s="2" t="s">
        <v>5275</v>
      </c>
      <c r="D2" s="2" t="s">
        <v>3216</v>
      </c>
      <c r="E2" s="82">
        <v>0.04</v>
      </c>
    </row>
    <row r="3" spans="1:9">
      <c r="A3" s="82">
        <v>0.01</v>
      </c>
      <c r="C3" s="2" t="s">
        <v>5278</v>
      </c>
      <c r="D3" s="2" t="s">
        <v>5276</v>
      </c>
      <c r="E3" s="82">
        <v>0.03</v>
      </c>
      <c r="I3" s="125"/>
    </row>
    <row r="4" spans="1:9">
      <c r="A4" s="82">
        <v>0.02</v>
      </c>
      <c r="C4" s="2" t="s">
        <v>5274</v>
      </c>
      <c r="D4" s="2" t="s">
        <v>5277</v>
      </c>
      <c r="E4" s="7">
        <f>_xlfn.Z.TEST(A2:A11,E2,E3)</f>
        <v>0.85407972742810578</v>
      </c>
    </row>
    <row r="5" spans="1:9">
      <c r="A5" s="82">
        <v>0.02</v>
      </c>
    </row>
    <row r="6" spans="1:9">
      <c r="A6" s="82">
        <v>0.03</v>
      </c>
    </row>
    <row r="7" spans="1:9">
      <c r="A7" s="82">
        <v>0.03</v>
      </c>
    </row>
    <row r="8" spans="1:9">
      <c r="A8" s="82">
        <v>0.04</v>
      </c>
    </row>
    <row r="9" spans="1:9">
      <c r="A9" s="82">
        <v>0.04</v>
      </c>
    </row>
    <row r="10" spans="1:9">
      <c r="A10" s="82">
        <v>0.05</v>
      </c>
    </row>
    <row r="11" spans="1:9">
      <c r="A11" s="82">
        <v>0.05</v>
      </c>
    </row>
  </sheetData>
  <sortState xmlns:xlrd2="http://schemas.microsoft.com/office/spreadsheetml/2017/richdata2" ref="A2:A11">
    <sortCondition ref="A2"/>
  </sortState>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371D-5B80-4B09-BFB3-918D0F911196}">
  <sheetPr codeName="Sheet689"/>
  <dimension ref="A1:D16"/>
  <sheetViews>
    <sheetView workbookViewId="0">
      <selection activeCell="D1" sqref="D1"/>
    </sheetView>
  </sheetViews>
  <sheetFormatPr defaultRowHeight="14.4"/>
  <cols>
    <col min="1" max="1" width="10.88671875" bestFit="1" customWidth="1"/>
    <col min="3" max="3" width="27.109375" bestFit="1" customWidth="1"/>
    <col min="4" max="4" width="6.6640625" bestFit="1" customWidth="1"/>
  </cols>
  <sheetData>
    <row r="1" spans="1:4">
      <c r="A1" s="1" t="s">
        <v>5281</v>
      </c>
      <c r="C1" s="1" t="s">
        <v>622</v>
      </c>
      <c r="D1" s="1" t="s">
        <v>1727</v>
      </c>
    </row>
    <row r="2" spans="1:4">
      <c r="A2" s="2">
        <v>14</v>
      </c>
      <c r="C2" s="2" t="s">
        <v>5279</v>
      </c>
      <c r="D2" s="2">
        <v>18</v>
      </c>
    </row>
    <row r="3" spans="1:4">
      <c r="A3" s="2">
        <v>15</v>
      </c>
      <c r="C3" s="2" t="s">
        <v>5274</v>
      </c>
      <c r="D3" s="7">
        <f>_xlfn.Z.TEST(A2:A16,D2)</f>
        <v>1.701247515859038E-2</v>
      </c>
    </row>
    <row r="4" spans="1:4">
      <c r="A4" s="2">
        <v>15</v>
      </c>
      <c r="C4" s="2" t="s">
        <v>5280</v>
      </c>
      <c r="D4" s="7">
        <f>2*MIN(_xlfn.Z.TEST(A2:A16,D2),1-_xlfn.Z.TEST(A2:A16,D2))</f>
        <v>3.4024950317180759E-2</v>
      </c>
    </row>
    <row r="5" spans="1:4">
      <c r="A5" s="2">
        <v>16</v>
      </c>
    </row>
    <row r="6" spans="1:4">
      <c r="A6" s="2">
        <v>17</v>
      </c>
    </row>
    <row r="7" spans="1:4">
      <c r="A7" s="2">
        <v>19</v>
      </c>
    </row>
    <row r="8" spans="1:4">
      <c r="A8" s="2">
        <v>19</v>
      </c>
    </row>
    <row r="9" spans="1:4">
      <c r="A9" s="2">
        <v>19</v>
      </c>
    </row>
    <row r="10" spans="1:4">
      <c r="A10" s="2">
        <v>20</v>
      </c>
    </row>
    <row r="11" spans="1:4">
      <c r="A11" s="2">
        <v>23</v>
      </c>
    </row>
    <row r="12" spans="1:4">
      <c r="A12" s="2">
        <v>25</v>
      </c>
    </row>
    <row r="13" spans="1:4">
      <c r="A13" s="2">
        <v>26</v>
      </c>
    </row>
    <row r="14" spans="1:4">
      <c r="A14" s="2">
        <v>28</v>
      </c>
    </row>
    <row r="15" spans="1:4">
      <c r="A15" s="2">
        <v>28</v>
      </c>
    </row>
    <row r="16" spans="1:4">
      <c r="A16" s="2">
        <v>28</v>
      </c>
    </row>
  </sheetData>
  <sortState xmlns:xlrd2="http://schemas.microsoft.com/office/spreadsheetml/2017/richdata2" ref="A2:A15">
    <sortCondition ref="A2"/>
  </sortState>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5B5D-4B96-4F74-8AAF-CF24E2F27BA8}">
  <sheetPr codeName="Sheet690"/>
  <dimension ref="A1:J21"/>
  <sheetViews>
    <sheetView zoomScale="90" zoomScaleNormal="90" workbookViewId="0">
      <selection activeCell="D1" sqref="D1"/>
    </sheetView>
  </sheetViews>
  <sheetFormatPr defaultRowHeight="14.4"/>
  <cols>
    <col min="4" max="4" width="17.5546875" bestFit="1" customWidth="1"/>
    <col min="8" max="8" width="27.109375" bestFit="1" customWidth="1"/>
    <col min="9" max="9" width="12.5546875" bestFit="1" customWidth="1"/>
    <col min="10" max="10" width="8.5546875" bestFit="1" customWidth="1"/>
  </cols>
  <sheetData>
    <row r="1" spans="1:10">
      <c r="A1" s="1" t="s">
        <v>5282</v>
      </c>
      <c r="B1" s="1" t="s">
        <v>5283</v>
      </c>
      <c r="D1" s="1" t="s">
        <v>5290</v>
      </c>
      <c r="E1" s="2">
        <f>_xlfn.VAR.P(A2:A21)</f>
        <v>119.92749999999999</v>
      </c>
      <c r="H1" t="s">
        <v>5284</v>
      </c>
    </row>
    <row r="2" spans="1:10" ht="15" thickBot="1">
      <c r="A2" s="2">
        <v>52</v>
      </c>
      <c r="B2" s="2">
        <v>70</v>
      </c>
      <c r="D2" s="1" t="s">
        <v>5291</v>
      </c>
      <c r="E2" s="2">
        <f>_xlfn.VAR.P(B2:B21)</f>
        <v>197.06</v>
      </c>
    </row>
    <row r="3" spans="1:10">
      <c r="A3" s="2">
        <v>54</v>
      </c>
      <c r="B3" s="2">
        <v>71</v>
      </c>
      <c r="H3" s="245"/>
      <c r="I3" s="245" t="s">
        <v>5282</v>
      </c>
      <c r="J3" s="245" t="s">
        <v>5283</v>
      </c>
    </row>
    <row r="4" spans="1:10">
      <c r="A4" s="2">
        <v>55</v>
      </c>
      <c r="B4" s="2">
        <v>71</v>
      </c>
      <c r="H4" t="s">
        <v>3817</v>
      </c>
      <c r="I4">
        <v>70.650000000000006</v>
      </c>
      <c r="J4">
        <v>88.8</v>
      </c>
    </row>
    <row r="5" spans="1:10">
      <c r="A5" s="2">
        <v>59</v>
      </c>
      <c r="B5" s="2">
        <v>71</v>
      </c>
      <c r="H5" t="s">
        <v>5285</v>
      </c>
      <c r="I5">
        <v>119.9</v>
      </c>
      <c r="J5">
        <v>197</v>
      </c>
    </row>
    <row r="6" spans="1:10">
      <c r="A6" s="2">
        <v>61</v>
      </c>
      <c r="B6" s="2">
        <v>75</v>
      </c>
      <c r="H6" t="s">
        <v>4060</v>
      </c>
      <c r="I6">
        <v>20</v>
      </c>
      <c r="J6">
        <v>20</v>
      </c>
    </row>
    <row r="7" spans="1:10">
      <c r="A7" s="2">
        <v>61</v>
      </c>
      <c r="B7" s="2">
        <v>75</v>
      </c>
      <c r="H7" t="s">
        <v>4753</v>
      </c>
      <c r="I7">
        <v>0</v>
      </c>
    </row>
    <row r="8" spans="1:10">
      <c r="A8" s="2">
        <v>62</v>
      </c>
      <c r="B8" s="2">
        <v>79</v>
      </c>
      <c r="H8" t="s">
        <v>3625</v>
      </c>
      <c r="I8">
        <v>-4.5596395034463448</v>
      </c>
    </row>
    <row r="9" spans="1:10">
      <c r="A9" s="2">
        <v>64</v>
      </c>
      <c r="B9" s="2">
        <v>79</v>
      </c>
      <c r="H9" t="s">
        <v>5286</v>
      </c>
      <c r="I9">
        <v>2.5620753961730358E-6</v>
      </c>
    </row>
    <row r="10" spans="1:10">
      <c r="A10" s="2">
        <v>69</v>
      </c>
      <c r="B10" s="2">
        <v>88</v>
      </c>
      <c r="H10" t="s">
        <v>5287</v>
      </c>
      <c r="I10">
        <v>1.6448536269514715</v>
      </c>
    </row>
    <row r="11" spans="1:10">
      <c r="A11" s="2">
        <v>69</v>
      </c>
      <c r="B11" s="2">
        <v>89</v>
      </c>
      <c r="H11" t="s">
        <v>5288</v>
      </c>
      <c r="I11">
        <v>5.1241507923460716E-6</v>
      </c>
    </row>
    <row r="12" spans="1:10" ht="15" thickBot="1">
      <c r="A12" s="2">
        <v>75</v>
      </c>
      <c r="B12" s="2">
        <v>89</v>
      </c>
      <c r="H12" s="169" t="s">
        <v>5289</v>
      </c>
      <c r="I12" s="169">
        <v>1.9599639845400536</v>
      </c>
      <c r="J12" s="169"/>
    </row>
    <row r="13" spans="1:10">
      <c r="A13" s="2">
        <v>79</v>
      </c>
      <c r="B13" s="2">
        <v>94</v>
      </c>
    </row>
    <row r="14" spans="1:10">
      <c r="A14" s="2">
        <v>79</v>
      </c>
      <c r="B14" s="2">
        <v>95</v>
      </c>
    </row>
    <row r="15" spans="1:10">
      <c r="A15" s="2">
        <v>79</v>
      </c>
      <c r="B15" s="2">
        <v>96</v>
      </c>
    </row>
    <row r="16" spans="1:10">
      <c r="A16" s="2">
        <v>80</v>
      </c>
      <c r="B16" s="2">
        <v>97</v>
      </c>
    </row>
    <row r="17" spans="1:2">
      <c r="A17" s="2">
        <v>82</v>
      </c>
      <c r="B17" s="2">
        <v>97</v>
      </c>
    </row>
    <row r="18" spans="1:2">
      <c r="A18" s="2">
        <v>82</v>
      </c>
      <c r="B18" s="2">
        <v>108</v>
      </c>
    </row>
    <row r="19" spans="1:2">
      <c r="A19" s="2">
        <v>83</v>
      </c>
      <c r="B19" s="2">
        <v>109</v>
      </c>
    </row>
    <row r="20" spans="1:2">
      <c r="A20" s="2">
        <v>84</v>
      </c>
      <c r="B20" s="2">
        <v>110</v>
      </c>
    </row>
    <row r="21" spans="1:2">
      <c r="A21" s="2">
        <v>84</v>
      </c>
      <c r="B21" s="2">
        <v>113</v>
      </c>
    </row>
  </sheetData>
  <pageMargins left="0.7" right="0.7" top="0.75" bottom="0.75" header="0.3" footer="0.3"/>
  <pageSetup orientation="portrait" horizontalDpi="4294967293" verticalDpi="0"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6718-0C21-4779-B961-E23A0EF11BB2}">
  <sheetPr codeName="Sheet691"/>
  <dimension ref="A1:O11"/>
  <sheetViews>
    <sheetView workbookViewId="0"/>
  </sheetViews>
  <sheetFormatPr defaultRowHeight="14.4"/>
  <cols>
    <col min="3" max="3" width="28.5546875" bestFit="1" customWidth="1"/>
    <col min="4" max="4" width="11.88671875" bestFit="1" customWidth="1"/>
  </cols>
  <sheetData>
    <row r="1" spans="1:15">
      <c r="A1" s="1" t="s">
        <v>606</v>
      </c>
      <c r="C1" s="1" t="s">
        <v>5279</v>
      </c>
      <c r="D1" s="2">
        <v>34</v>
      </c>
    </row>
    <row r="2" spans="1:15">
      <c r="A2" s="2">
        <v>10</v>
      </c>
      <c r="C2" s="1" t="s">
        <v>5271</v>
      </c>
      <c r="D2" s="7">
        <v>0.62298873496896268</v>
      </c>
    </row>
    <row r="3" spans="1:15">
      <c r="A3" s="2">
        <v>15</v>
      </c>
      <c r="O3">
        <v>0.62298873496896268</v>
      </c>
    </row>
    <row r="4" spans="1:15">
      <c r="A4" s="2">
        <v>20</v>
      </c>
    </row>
    <row r="5" spans="1:15">
      <c r="A5" s="2">
        <v>25</v>
      </c>
    </row>
    <row r="6" spans="1:15">
      <c r="A6" s="2">
        <v>30</v>
      </c>
    </row>
    <row r="7" spans="1:15">
      <c r="A7" s="2">
        <v>35</v>
      </c>
    </row>
    <row r="8" spans="1:15">
      <c r="A8" s="2">
        <v>40</v>
      </c>
    </row>
    <row r="9" spans="1:15">
      <c r="A9" s="2">
        <v>45</v>
      </c>
    </row>
    <row r="10" spans="1:15">
      <c r="A10" s="2">
        <v>50</v>
      </c>
    </row>
    <row r="11" spans="1:15">
      <c r="A11" s="2">
        <v>55</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CA9D-9A47-4C6D-B6A4-DC412867D269}">
  <sheetPr codeName="Sheet692"/>
  <dimension ref="A1:C7"/>
  <sheetViews>
    <sheetView workbookViewId="0">
      <selection activeCell="B7" sqref="B7"/>
    </sheetView>
  </sheetViews>
  <sheetFormatPr defaultRowHeight="14.4"/>
  <cols>
    <col min="1" max="1" width="35.88671875" style="14" bestFit="1" customWidth="1"/>
    <col min="2" max="2" width="9.6640625" style="14" customWidth="1"/>
    <col min="3" max="3" width="5.5546875" style="14" bestFit="1" customWidth="1"/>
  </cols>
  <sheetData>
    <row r="1" spans="1:3">
      <c r="A1" s="1" t="s">
        <v>622</v>
      </c>
      <c r="B1" s="1" t="s">
        <v>2887</v>
      </c>
      <c r="C1" s="1" t="s">
        <v>1727</v>
      </c>
    </row>
    <row r="2" spans="1:3">
      <c r="A2" s="2" t="s">
        <v>5292</v>
      </c>
      <c r="B2" s="2" t="s">
        <v>3216</v>
      </c>
      <c r="C2" s="2">
        <v>130</v>
      </c>
    </row>
    <row r="3" spans="1:3">
      <c r="A3" s="2" t="s">
        <v>5294</v>
      </c>
      <c r="B3" s="5" t="s">
        <v>4872</v>
      </c>
      <c r="C3" s="2">
        <v>10</v>
      </c>
    </row>
    <row r="4" spans="1:3">
      <c r="A4" s="2" t="s">
        <v>5295</v>
      </c>
      <c r="B4" s="2" t="s">
        <v>5296</v>
      </c>
      <c r="C4" s="2">
        <v>120</v>
      </c>
    </row>
    <row r="5" spans="1:3">
      <c r="A5" s="2" t="s">
        <v>5293</v>
      </c>
      <c r="B5" s="2" t="s">
        <v>3795</v>
      </c>
      <c r="C5" s="2" t="b">
        <v>1</v>
      </c>
    </row>
    <row r="7" spans="1:3">
      <c r="A7" s="1" t="s">
        <v>5297</v>
      </c>
      <c r="B7" s="7">
        <f>_xlfn.WEIBULL.DIST(C2,C3,C4,C5)</f>
        <v>0.89209365545756381</v>
      </c>
    </row>
  </sheetData>
  <pageMargins left="0.7" right="0.7" top="0.75" bottom="0.75" header="0.3" footer="0.3"/>
  <pageSetup orientation="portrait" horizontalDpi="4294967293" verticalDpi="0" r:id="rId1"/>
  <drawing r:id="rId2"/>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8A68-066D-4FED-BBB7-1E12CAD2642F}">
  <sheetPr codeName="Sheet693"/>
  <dimension ref="B1:D9"/>
  <sheetViews>
    <sheetView workbookViewId="0">
      <selection activeCell="B7" sqref="B7"/>
    </sheetView>
  </sheetViews>
  <sheetFormatPr defaultRowHeight="14.4"/>
  <cols>
    <col min="2" max="2" width="35.88671875" bestFit="1" customWidth="1"/>
    <col min="3" max="3" width="9.88671875" bestFit="1" customWidth="1"/>
    <col min="4" max="4" width="5.5546875" bestFit="1" customWidth="1"/>
  </cols>
  <sheetData>
    <row r="1" spans="2:4" ht="15" thickBot="1"/>
    <row r="2" spans="2:4">
      <c r="B2" s="437" t="s">
        <v>5298</v>
      </c>
      <c r="C2" s="445"/>
      <c r="D2" s="438"/>
    </row>
    <row r="3" spans="2:4">
      <c r="B3" s="180" t="s">
        <v>622</v>
      </c>
      <c r="C3" s="1" t="s">
        <v>2887</v>
      </c>
      <c r="D3" s="181" t="s">
        <v>1727</v>
      </c>
    </row>
    <row r="4" spans="2:4">
      <c r="B4" s="157" t="s">
        <v>5292</v>
      </c>
      <c r="C4" s="2" t="s">
        <v>3216</v>
      </c>
      <c r="D4" s="159">
        <v>100</v>
      </c>
    </row>
    <row r="5" spans="2:4">
      <c r="B5" s="157" t="s">
        <v>5294</v>
      </c>
      <c r="C5" s="5" t="s">
        <v>4872</v>
      </c>
      <c r="D5" s="159">
        <v>40</v>
      </c>
    </row>
    <row r="6" spans="2:4">
      <c r="B6" s="157" t="s">
        <v>5295</v>
      </c>
      <c r="C6" s="2" t="s">
        <v>5296</v>
      </c>
      <c r="D6" s="159">
        <v>95</v>
      </c>
    </row>
    <row r="7" spans="2:4">
      <c r="B7" s="157" t="s">
        <v>5293</v>
      </c>
      <c r="C7" s="2" t="s">
        <v>3795</v>
      </c>
      <c r="D7" s="159" t="b">
        <v>1</v>
      </c>
    </row>
    <row r="8" spans="2:4">
      <c r="B8" s="184"/>
      <c r="C8" s="14"/>
      <c r="D8" s="209"/>
    </row>
    <row r="9" spans="2:4" ht="15" thickBot="1">
      <c r="B9" s="276" t="s">
        <v>5297</v>
      </c>
      <c r="C9" s="177">
        <f>_xlfn.WEIBULL.DIST(D4,D5,D6,D7)</f>
        <v>0.99958255803195095</v>
      </c>
      <c r="D9" s="339"/>
    </row>
  </sheetData>
  <mergeCells count="1">
    <mergeCell ref="B2:D2"/>
  </mergeCell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DF2-52F4-4941-A669-743C5A316C24}">
  <sheetPr codeName="Sheet694"/>
  <dimension ref="C1:E9"/>
  <sheetViews>
    <sheetView workbookViewId="0">
      <selection activeCell="B7" sqref="B7"/>
    </sheetView>
  </sheetViews>
  <sheetFormatPr defaultRowHeight="14.4"/>
  <cols>
    <col min="3" max="3" width="35.88671875" bestFit="1" customWidth="1"/>
    <col min="4" max="4" width="9.88671875" bestFit="1" customWidth="1"/>
    <col min="5" max="5" width="8.6640625" customWidth="1"/>
  </cols>
  <sheetData>
    <row r="1" spans="3:5" ht="15" thickBot="1"/>
    <row r="2" spans="3:5">
      <c r="C2" s="437" t="s">
        <v>5299</v>
      </c>
      <c r="D2" s="445"/>
      <c r="E2" s="438"/>
    </row>
    <row r="3" spans="3:5">
      <c r="C3" s="180" t="s">
        <v>622</v>
      </c>
      <c r="D3" s="1" t="s">
        <v>2887</v>
      </c>
      <c r="E3" s="181" t="s">
        <v>1727</v>
      </c>
    </row>
    <row r="4" spans="3:5">
      <c r="C4" s="157" t="s">
        <v>5292</v>
      </c>
      <c r="D4" s="2" t="s">
        <v>3216</v>
      </c>
      <c r="E4" s="159">
        <v>1400</v>
      </c>
    </row>
    <row r="5" spans="3:5">
      <c r="C5" s="157" t="s">
        <v>5294</v>
      </c>
      <c r="D5" s="5" t="s">
        <v>4872</v>
      </c>
      <c r="E5" s="159">
        <v>15</v>
      </c>
    </row>
    <row r="6" spans="3:5">
      <c r="C6" s="157" t="s">
        <v>5295</v>
      </c>
      <c r="D6" s="2" t="s">
        <v>5296</v>
      </c>
      <c r="E6" s="159">
        <v>1305</v>
      </c>
    </row>
    <row r="7" spans="3:5">
      <c r="C7" s="157" t="s">
        <v>5293</v>
      </c>
      <c r="D7" s="2" t="s">
        <v>3795</v>
      </c>
      <c r="E7" s="159" t="b">
        <v>1</v>
      </c>
    </row>
    <row r="8" spans="3:5">
      <c r="C8" s="184"/>
      <c r="D8" s="14"/>
      <c r="E8" s="209"/>
    </row>
    <row r="9" spans="3:5" ht="15" thickBot="1">
      <c r="C9" s="276" t="s">
        <v>5297</v>
      </c>
      <c r="D9" s="177">
        <f>_xlfn.WEIBULL.DIST(E4,E5,E6,E7)</f>
        <v>0.94325646010482878</v>
      </c>
      <c r="E9" s="339"/>
    </row>
  </sheetData>
  <mergeCells count="1">
    <mergeCell ref="C2:E2"/>
  </mergeCell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84AA-12CD-4839-A20B-B36FDC99DF57}">
  <sheetPr codeName="Sheet695"/>
  <dimension ref="C1:E9"/>
  <sheetViews>
    <sheetView workbookViewId="0">
      <selection activeCell="B7" sqref="B7"/>
    </sheetView>
  </sheetViews>
  <sheetFormatPr defaultRowHeight="14.4"/>
  <cols>
    <col min="3" max="3" width="35.88671875" bestFit="1" customWidth="1"/>
    <col min="4" max="4" width="9.88671875" bestFit="1" customWidth="1"/>
  </cols>
  <sheetData>
    <row r="1" spans="3:5" ht="15" thickBot="1"/>
    <row r="2" spans="3:5">
      <c r="C2" s="437" t="s">
        <v>5300</v>
      </c>
      <c r="D2" s="445"/>
      <c r="E2" s="438"/>
    </row>
    <row r="3" spans="3:5">
      <c r="C3" s="180" t="s">
        <v>622</v>
      </c>
      <c r="D3" s="1" t="s">
        <v>2887</v>
      </c>
      <c r="E3" s="181" t="s">
        <v>1727</v>
      </c>
    </row>
    <row r="4" spans="3:5">
      <c r="C4" s="157" t="s">
        <v>5292</v>
      </c>
      <c r="D4" s="2" t="s">
        <v>3216</v>
      </c>
      <c r="E4" s="159">
        <v>155</v>
      </c>
    </row>
    <row r="5" spans="3:5">
      <c r="C5" s="157" t="s">
        <v>5294</v>
      </c>
      <c r="D5" s="5" t="s">
        <v>4872</v>
      </c>
      <c r="E5" s="159">
        <v>35</v>
      </c>
    </row>
    <row r="6" spans="3:5">
      <c r="C6" s="157" t="s">
        <v>5295</v>
      </c>
      <c r="D6" s="2" t="s">
        <v>5296</v>
      </c>
      <c r="E6" s="159">
        <v>150</v>
      </c>
    </row>
    <row r="7" spans="3:5">
      <c r="C7" s="157" t="s">
        <v>5293</v>
      </c>
      <c r="D7" s="2" t="s">
        <v>3795</v>
      </c>
      <c r="E7" s="159" t="b">
        <v>0</v>
      </c>
    </row>
    <row r="8" spans="3:5">
      <c r="C8" s="184"/>
      <c r="D8" s="14"/>
      <c r="E8" s="209"/>
    </row>
    <row r="9" spans="3:5" ht="15" thickBot="1">
      <c r="C9" s="276" t="s">
        <v>5301</v>
      </c>
      <c r="D9" s="177">
        <f>_xlfn.WEIBULL.DIST(E4,E5,E6,E7)</f>
        <v>3.0464488408971171E-2</v>
      </c>
      <c r="E9" s="339"/>
    </row>
  </sheetData>
  <mergeCells count="1">
    <mergeCell ref="C2:E2"/>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3EB92-F9B3-4716-B156-B501EC1F4684}">
  <sheetPr codeName="Sheet696"/>
  <dimension ref="A1:C23"/>
  <sheetViews>
    <sheetView zoomScale="90" zoomScaleNormal="90" workbookViewId="0">
      <selection activeCell="B7" sqref="B7"/>
    </sheetView>
  </sheetViews>
  <sheetFormatPr defaultRowHeight="14.4"/>
  <cols>
    <col min="1" max="1" width="32.44140625" bestFit="1" customWidth="1"/>
    <col min="2" max="2" width="36.6640625" bestFit="1" customWidth="1"/>
    <col min="3" max="3" width="5.664062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1</v>
      </c>
    </row>
    <row r="7" spans="1:3">
      <c r="A7" s="1" t="s">
        <v>3216</v>
      </c>
      <c r="B7" s="1" t="s">
        <v>5297</v>
      </c>
    </row>
    <row r="8" spans="1:3">
      <c r="A8" s="2">
        <v>0</v>
      </c>
      <c r="B8" s="7">
        <f>_xlfn.WEIBULL.DIST(A8,$C$2,$C$3,$C$4)</f>
        <v>0</v>
      </c>
    </row>
    <row r="9" spans="1:3">
      <c r="A9" s="2">
        <v>0.2</v>
      </c>
      <c r="B9" s="7">
        <f t="shared" ref="B9:B23" si="0">_xlfn.WEIBULL.DIST(A9,$C$2,$C$3,$C$4)</f>
        <v>3.9210560847676795E-2</v>
      </c>
    </row>
    <row r="10" spans="1:3">
      <c r="A10" s="2">
        <v>0.4</v>
      </c>
      <c r="B10" s="7">
        <f t="shared" si="0"/>
        <v>0.14785621103378868</v>
      </c>
    </row>
    <row r="11" spans="1:3">
      <c r="A11" s="2">
        <v>0.6</v>
      </c>
      <c r="B11" s="7">
        <f t="shared" si="0"/>
        <v>0.30232367392896892</v>
      </c>
    </row>
    <row r="12" spans="1:3">
      <c r="A12" s="2">
        <v>0.8</v>
      </c>
      <c r="B12" s="7">
        <f t="shared" si="0"/>
        <v>0.47270757595695145</v>
      </c>
    </row>
    <row r="13" spans="1:3">
      <c r="A13" s="2">
        <v>1</v>
      </c>
      <c r="B13" s="7">
        <f t="shared" si="0"/>
        <v>0.63212055882855767</v>
      </c>
    </row>
    <row r="14" spans="1:3">
      <c r="A14" s="2">
        <v>1.2</v>
      </c>
      <c r="B14" s="7">
        <f t="shared" si="0"/>
        <v>0.76307224131787821</v>
      </c>
    </row>
    <row r="15" spans="1:3">
      <c r="A15" s="2">
        <v>1.4</v>
      </c>
      <c r="B15" s="7">
        <f t="shared" si="0"/>
        <v>0.85914157907895494</v>
      </c>
    </row>
    <row r="16" spans="1:3">
      <c r="A16" s="2">
        <v>1.6</v>
      </c>
      <c r="B16" s="7">
        <f t="shared" si="0"/>
        <v>0.92269525955670029</v>
      </c>
    </row>
    <row r="17" spans="1:2">
      <c r="A17" s="2">
        <v>1.8</v>
      </c>
      <c r="B17" s="7">
        <f t="shared" si="0"/>
        <v>0.9608361049010129</v>
      </c>
    </row>
    <row r="18" spans="1:2">
      <c r="A18" s="2">
        <v>2</v>
      </c>
      <c r="B18" s="7">
        <f t="shared" si="0"/>
        <v>0.98168436111126578</v>
      </c>
    </row>
    <row r="19" spans="1:2">
      <c r="A19" s="2">
        <v>2.2000000000000002</v>
      </c>
      <c r="B19" s="7">
        <f t="shared" si="0"/>
        <v>0.99209294594840658</v>
      </c>
    </row>
    <row r="20" spans="1:2">
      <c r="A20" s="2">
        <v>2.4</v>
      </c>
      <c r="B20" s="7">
        <f t="shared" si="0"/>
        <v>0.99684888840155561</v>
      </c>
    </row>
    <row r="21" spans="1:2">
      <c r="A21" s="2">
        <v>2.6</v>
      </c>
      <c r="B21" s="7">
        <f t="shared" si="0"/>
        <v>0.99884077082609546</v>
      </c>
    </row>
    <row r="22" spans="1:2">
      <c r="A22" s="2">
        <v>2.8</v>
      </c>
      <c r="B22" s="7">
        <f t="shared" si="0"/>
        <v>0.99960633095934492</v>
      </c>
    </row>
    <row r="23" spans="1:2">
      <c r="A23" s="2">
        <v>3</v>
      </c>
      <c r="B23" s="7">
        <f t="shared" si="0"/>
        <v>0.99987659019591335</v>
      </c>
    </row>
  </sheetData>
  <pageMargins left="0.7" right="0.7" top="0.75" bottom="0.75" header="0.3" footer="0.3"/>
  <pageSetup orientation="portrait" horizontalDpi="4294967293" verticalDpi="0" r:id="rId1"/>
  <drawing r:id="rId2"/>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5678-1E15-40B5-972F-CFA2EEFFCCA6}">
  <sheetPr codeName="Sheet697"/>
  <dimension ref="A1:C23"/>
  <sheetViews>
    <sheetView zoomScale="90" zoomScaleNormal="90" workbookViewId="0">
      <selection activeCell="B7" sqref="B7"/>
    </sheetView>
  </sheetViews>
  <sheetFormatPr defaultRowHeight="14.4"/>
  <cols>
    <col min="1" max="1" width="32.44140625" bestFit="1" customWidth="1"/>
    <col min="2" max="2" width="32.5546875" bestFit="1" customWidth="1"/>
    <col min="3" max="3" width="5.664062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0</v>
      </c>
    </row>
    <row r="7" spans="1:3">
      <c r="A7" s="226" t="s">
        <v>3216</v>
      </c>
      <c r="B7" s="1" t="s">
        <v>5301</v>
      </c>
    </row>
    <row r="8" spans="1:3">
      <c r="A8" s="2">
        <v>0</v>
      </c>
      <c r="B8" s="86">
        <f>_xlfn.WEIBULL.DIST(A8,$C$2,$C$3,$C$4)</f>
        <v>0</v>
      </c>
    </row>
    <row r="9" spans="1:3">
      <c r="A9" s="2">
        <v>0.2</v>
      </c>
      <c r="B9" s="86">
        <f t="shared" ref="B9:B23" si="0">_xlfn.WEIBULL.DIST(A9,$C$2,$C$3,$C$4)</f>
        <v>0.38431577566092928</v>
      </c>
    </row>
    <row r="10" spans="1:3">
      <c r="A10" s="2">
        <v>0.4</v>
      </c>
      <c r="B10" s="86">
        <f t="shared" si="0"/>
        <v>0.68171503117296917</v>
      </c>
    </row>
    <row r="11" spans="1:3">
      <c r="A11" s="2">
        <v>0.6</v>
      </c>
      <c r="B11" s="86">
        <f t="shared" si="0"/>
        <v>0.83721159128523726</v>
      </c>
    </row>
    <row r="12" spans="1:3">
      <c r="A12" s="2">
        <v>0.8</v>
      </c>
      <c r="B12" s="86">
        <f t="shared" si="0"/>
        <v>0.8436678784688777</v>
      </c>
    </row>
    <row r="13" spans="1:3">
      <c r="A13" s="2">
        <v>1</v>
      </c>
      <c r="B13" s="86">
        <f t="shared" si="0"/>
        <v>0.73575888234288467</v>
      </c>
    </row>
    <row r="14" spans="1:3">
      <c r="A14" s="2">
        <v>1.2</v>
      </c>
      <c r="B14" s="86">
        <f t="shared" si="0"/>
        <v>0.56862662083709226</v>
      </c>
    </row>
    <row r="15" spans="1:3">
      <c r="A15" s="2">
        <v>1.4</v>
      </c>
      <c r="B15" s="86">
        <f t="shared" si="0"/>
        <v>0.394403578578926</v>
      </c>
    </row>
    <row r="16" spans="1:3">
      <c r="A16" s="2">
        <v>1.6</v>
      </c>
      <c r="B16" s="86">
        <f t="shared" si="0"/>
        <v>0.24737516941855908</v>
      </c>
    </row>
    <row r="17" spans="1:2">
      <c r="A17" s="2">
        <v>1.8</v>
      </c>
      <c r="B17" s="86">
        <f t="shared" si="0"/>
        <v>0.14099002235635344</v>
      </c>
    </row>
    <row r="18" spans="1:2">
      <c r="A18" s="2">
        <v>2</v>
      </c>
      <c r="B18" s="86">
        <f t="shared" si="0"/>
        <v>7.3262555554936715E-2</v>
      </c>
    </row>
    <row r="19" spans="1:2">
      <c r="A19" s="2">
        <v>2.2000000000000002</v>
      </c>
      <c r="B19" s="86">
        <f t="shared" si="0"/>
        <v>3.4791037827011116E-2</v>
      </c>
    </row>
    <row r="20" spans="1:2">
      <c r="A20" s="2">
        <v>2.4</v>
      </c>
      <c r="B20" s="86">
        <f t="shared" si="0"/>
        <v>1.5125335672533331E-2</v>
      </c>
    </row>
    <row r="21" spans="1:2">
      <c r="A21" s="2">
        <v>2.6</v>
      </c>
      <c r="B21" s="86">
        <f t="shared" si="0"/>
        <v>6.0279917043038755E-3</v>
      </c>
    </row>
    <row r="22" spans="1:2">
      <c r="A22" s="2">
        <v>2.8</v>
      </c>
      <c r="B22" s="86">
        <f t="shared" si="0"/>
        <v>2.2045466276684419E-3</v>
      </c>
    </row>
    <row r="23" spans="1:2">
      <c r="A23" s="2">
        <v>3</v>
      </c>
      <c r="B23" s="86">
        <f t="shared" si="0"/>
        <v>7.4045882452007607E-4</v>
      </c>
    </row>
  </sheetData>
  <pageMargins left="0.7" right="0.7" top="0.75" bottom="0.75" header="0.3" footer="0.3"/>
  <drawing r:id="rId1"/>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67DA-9F4D-42E4-AE9C-8E6BDE0E6B94}">
  <sheetPr codeName="Sheet698"/>
  <dimension ref="A1:O9"/>
  <sheetViews>
    <sheetView workbookViewId="0">
      <selection activeCell="C3" sqref="C3"/>
    </sheetView>
  </sheetViews>
  <sheetFormatPr defaultRowHeight="14.4"/>
  <cols>
    <col min="1" max="1" width="35.88671875" bestFit="1" customWidth="1"/>
    <col min="2" max="2" width="9.88671875" bestFit="1" customWidth="1"/>
  </cols>
  <sheetData>
    <row r="1" spans="1:15" ht="15" thickBot="1"/>
    <row r="2" spans="1:15">
      <c r="A2" s="437" t="s">
        <v>5299</v>
      </c>
      <c r="B2" s="445"/>
      <c r="C2" s="438"/>
    </row>
    <row r="3" spans="1:15">
      <c r="A3" s="180" t="s">
        <v>622</v>
      </c>
      <c r="B3" s="1" t="s">
        <v>2887</v>
      </c>
      <c r="C3" s="181" t="s">
        <v>1727</v>
      </c>
    </row>
    <row r="4" spans="1:15">
      <c r="A4" s="157" t="s">
        <v>5292</v>
      </c>
      <c r="B4" s="2" t="s">
        <v>3216</v>
      </c>
      <c r="C4" s="159">
        <v>500</v>
      </c>
    </row>
    <row r="5" spans="1:15">
      <c r="A5" s="157" t="s">
        <v>5294</v>
      </c>
      <c r="B5" s="5" t="s">
        <v>4872</v>
      </c>
      <c r="C5" s="159">
        <v>25</v>
      </c>
    </row>
    <row r="6" spans="1:15">
      <c r="A6" s="157" t="s">
        <v>5295</v>
      </c>
      <c r="B6" s="2" t="s">
        <v>5296</v>
      </c>
      <c r="C6" s="159">
        <v>480</v>
      </c>
    </row>
    <row r="7" spans="1:15">
      <c r="A7" s="157" t="s">
        <v>5293</v>
      </c>
      <c r="B7" s="2" t="s">
        <v>3795</v>
      </c>
      <c r="C7" s="159" t="b">
        <v>1</v>
      </c>
    </row>
    <row r="8" spans="1:15">
      <c r="A8" s="184"/>
      <c r="B8" s="14"/>
      <c r="C8" s="209"/>
    </row>
    <row r="9" spans="1:15" ht="15" thickBot="1">
      <c r="A9" s="276" t="s">
        <v>5297</v>
      </c>
      <c r="B9" s="177">
        <v>0.9376330667849847</v>
      </c>
      <c r="C9" s="339"/>
      <c r="O9">
        <v>0.9376330667849847</v>
      </c>
    </row>
  </sheetData>
  <mergeCells count="1">
    <mergeCell ref="A2:C2"/>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697C-D261-46E3-AF46-8EDAC9AAB049}">
  <sheetPr codeName="Sheet699"/>
  <dimension ref="A1:D15"/>
  <sheetViews>
    <sheetView workbookViewId="0">
      <selection activeCell="D5" sqref="D5"/>
    </sheetView>
  </sheetViews>
  <sheetFormatPr defaultRowHeight="14.4"/>
  <cols>
    <col min="1" max="1" width="15.44140625" bestFit="1" customWidth="1"/>
    <col min="2" max="2" width="18.5546875" bestFit="1" customWidth="1"/>
    <col min="3" max="3" width="20.109375" customWidth="1"/>
    <col min="4" max="4" width="14.5546875" bestFit="1" customWidth="1"/>
  </cols>
  <sheetData>
    <row r="1" spans="1:4">
      <c r="A1" s="1" t="s">
        <v>5302</v>
      </c>
      <c r="B1" s="338">
        <v>180</v>
      </c>
    </row>
    <row r="2" spans="1:4">
      <c r="A2" s="1" t="s">
        <v>5304</v>
      </c>
      <c r="B2" s="338">
        <v>100</v>
      </c>
    </row>
    <row r="3" spans="1:4">
      <c r="A3" s="1" t="s">
        <v>5303</v>
      </c>
      <c r="B3" s="338">
        <v>2000</v>
      </c>
    </row>
    <row r="5" spans="1:4" ht="57.6">
      <c r="A5" s="1" t="s">
        <v>210</v>
      </c>
      <c r="B5" s="8" t="s">
        <v>5306</v>
      </c>
      <c r="C5" s="8" t="s">
        <v>5307</v>
      </c>
      <c r="D5" s="8" t="s">
        <v>5305</v>
      </c>
    </row>
    <row r="6" spans="1:4">
      <c r="A6" s="2">
        <v>5</v>
      </c>
      <c r="B6" s="338">
        <f>($B$3+(A6*$B$2))</f>
        <v>2500</v>
      </c>
      <c r="C6" s="338">
        <f>A6*$B$1</f>
        <v>900</v>
      </c>
      <c r="D6" s="340">
        <f>C6-B6</f>
        <v>-1600</v>
      </c>
    </row>
    <row r="7" spans="1:4">
      <c r="A7" s="2">
        <v>10</v>
      </c>
      <c r="B7" s="338">
        <f t="shared" ref="B7:B15" si="0">($B$3+(A7*$B$2))</f>
        <v>3000</v>
      </c>
      <c r="C7" s="338">
        <f t="shared" ref="C7:C15" si="1">A7*$B$1</f>
        <v>1800</v>
      </c>
      <c r="D7" s="340">
        <f t="shared" ref="D7:D15" si="2">C7-B7</f>
        <v>-1200</v>
      </c>
    </row>
    <row r="8" spans="1:4">
      <c r="A8" s="2">
        <v>15</v>
      </c>
      <c r="B8" s="338">
        <f t="shared" si="0"/>
        <v>3500</v>
      </c>
      <c r="C8" s="338">
        <f t="shared" si="1"/>
        <v>2700</v>
      </c>
      <c r="D8" s="340">
        <f t="shared" si="2"/>
        <v>-800</v>
      </c>
    </row>
    <row r="9" spans="1:4">
      <c r="A9" s="2">
        <v>20</v>
      </c>
      <c r="B9" s="338">
        <f t="shared" si="0"/>
        <v>4000</v>
      </c>
      <c r="C9" s="338">
        <f t="shared" si="1"/>
        <v>3600</v>
      </c>
      <c r="D9" s="340">
        <f t="shared" si="2"/>
        <v>-400</v>
      </c>
    </row>
    <row r="10" spans="1:4">
      <c r="A10" s="2">
        <v>25</v>
      </c>
      <c r="B10" s="338">
        <f t="shared" si="0"/>
        <v>4500</v>
      </c>
      <c r="C10" s="338">
        <f t="shared" si="1"/>
        <v>4500</v>
      </c>
      <c r="D10" s="340">
        <f t="shared" si="2"/>
        <v>0</v>
      </c>
    </row>
    <row r="11" spans="1:4">
      <c r="A11" s="2">
        <v>30</v>
      </c>
      <c r="B11" s="338">
        <f t="shared" si="0"/>
        <v>5000</v>
      </c>
      <c r="C11" s="338">
        <f t="shared" si="1"/>
        <v>5400</v>
      </c>
      <c r="D11" s="340">
        <f t="shared" si="2"/>
        <v>400</v>
      </c>
    </row>
    <row r="12" spans="1:4">
      <c r="A12" s="2">
        <v>35</v>
      </c>
      <c r="B12" s="338">
        <f t="shared" si="0"/>
        <v>5500</v>
      </c>
      <c r="C12" s="338">
        <f t="shared" si="1"/>
        <v>6300</v>
      </c>
      <c r="D12" s="340">
        <f t="shared" si="2"/>
        <v>800</v>
      </c>
    </row>
    <row r="13" spans="1:4">
      <c r="A13" s="2">
        <v>40</v>
      </c>
      <c r="B13" s="338">
        <f t="shared" si="0"/>
        <v>6000</v>
      </c>
      <c r="C13" s="338">
        <f t="shared" si="1"/>
        <v>7200</v>
      </c>
      <c r="D13" s="340">
        <f t="shared" si="2"/>
        <v>1200</v>
      </c>
    </row>
    <row r="14" spans="1:4">
      <c r="A14" s="2">
        <v>45</v>
      </c>
      <c r="B14" s="338">
        <f t="shared" si="0"/>
        <v>6500</v>
      </c>
      <c r="C14" s="338">
        <f t="shared" si="1"/>
        <v>8100</v>
      </c>
      <c r="D14" s="340">
        <f t="shared" si="2"/>
        <v>1600</v>
      </c>
    </row>
    <row r="15" spans="1:4">
      <c r="A15" s="2">
        <v>50</v>
      </c>
      <c r="B15" s="338">
        <f t="shared" si="0"/>
        <v>7000</v>
      </c>
      <c r="C15" s="338">
        <f t="shared" si="1"/>
        <v>9000</v>
      </c>
      <c r="D15" s="340">
        <f t="shared" si="2"/>
        <v>2000</v>
      </c>
    </row>
  </sheetData>
  <pageMargins left="0.7" right="0.7" top="0.75" bottom="0.75" header="0.3" footer="0.3"/>
  <pageSetup orientation="portrait" horizontalDpi="4294967293" verticalDpi="0" r:id="rId1"/>
  <drawing r:id="rId2"/>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AB05-F48F-4A63-ADAD-BA1A09D4DD61}">
  <sheetPr codeName="Sheet700"/>
  <dimension ref="C2:E9"/>
  <sheetViews>
    <sheetView workbookViewId="0">
      <selection activeCell="D5" sqref="D5"/>
    </sheetView>
  </sheetViews>
  <sheetFormatPr defaultRowHeight="14.4"/>
  <cols>
    <col min="3" max="3" width="16.109375" bestFit="1" customWidth="1"/>
    <col min="4" max="4" width="8.6640625" customWidth="1"/>
    <col min="5" max="5" width="26.109375" bestFit="1" customWidth="1"/>
  </cols>
  <sheetData>
    <row r="2" spans="3:5">
      <c r="C2" s="1" t="s">
        <v>2887</v>
      </c>
      <c r="D2" s="1" t="s">
        <v>1727</v>
      </c>
      <c r="E2" s="1" t="s">
        <v>1977</v>
      </c>
    </row>
    <row r="3" spans="3:5">
      <c r="C3" s="341" t="s">
        <v>5302</v>
      </c>
      <c r="D3" s="87">
        <v>33.75</v>
      </c>
      <c r="E3" s="65"/>
    </row>
    <row r="4" spans="3:5">
      <c r="C4" s="2" t="s">
        <v>5308</v>
      </c>
      <c r="D4" s="2">
        <v>80</v>
      </c>
      <c r="E4" s="65"/>
    </row>
    <row r="5" spans="3:5">
      <c r="C5" s="2" t="s">
        <v>289</v>
      </c>
      <c r="D5" s="340">
        <f>D3*D4</f>
        <v>2700</v>
      </c>
      <c r="E5" s="65" t="s">
        <v>5310</v>
      </c>
    </row>
    <row r="6" spans="3:5">
      <c r="C6" s="2" t="s">
        <v>5304</v>
      </c>
      <c r="D6" s="83">
        <v>15</v>
      </c>
      <c r="E6" s="65"/>
    </row>
    <row r="7" spans="3:5">
      <c r="C7" s="2" t="s">
        <v>5309</v>
      </c>
      <c r="D7" s="340">
        <f>D4*D6</f>
        <v>1200</v>
      </c>
      <c r="E7" s="65" t="s">
        <v>5311</v>
      </c>
    </row>
    <row r="8" spans="3:5">
      <c r="C8" s="2" t="s">
        <v>5303</v>
      </c>
      <c r="D8" s="83">
        <v>1500</v>
      </c>
      <c r="E8" s="65"/>
    </row>
    <row r="9" spans="3:5">
      <c r="C9" s="2" t="s">
        <v>3741</v>
      </c>
      <c r="D9" s="340">
        <f>D5-D7-D8</f>
        <v>0</v>
      </c>
      <c r="E9" s="65" t="s">
        <v>5312</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EC2F-E82C-4837-B923-F506A8387FF7}">
  <sheetPr codeName="Sheet701"/>
  <dimension ref="A1:D15"/>
  <sheetViews>
    <sheetView workbookViewId="0">
      <selection activeCell="D5" sqref="D5"/>
    </sheetView>
  </sheetViews>
  <sheetFormatPr defaultRowHeight="14.4"/>
  <cols>
    <col min="1" max="1" width="15.44140625" bestFit="1" customWidth="1"/>
    <col min="2" max="2" width="18.5546875" bestFit="1" customWidth="1"/>
    <col min="3" max="3" width="20.109375" customWidth="1"/>
    <col min="4" max="4" width="14.5546875" bestFit="1" customWidth="1"/>
  </cols>
  <sheetData>
    <row r="1" spans="1:4">
      <c r="A1" s="1" t="s">
        <v>210</v>
      </c>
      <c r="B1" s="2">
        <v>150</v>
      </c>
    </row>
    <row r="2" spans="1:4">
      <c r="A2" s="1" t="s">
        <v>5304</v>
      </c>
      <c r="B2" s="338">
        <v>30</v>
      </c>
    </row>
    <row r="3" spans="1:4">
      <c r="A3" s="1" t="s">
        <v>5303</v>
      </c>
      <c r="B3" s="338">
        <v>900</v>
      </c>
    </row>
    <row r="5" spans="1:4" ht="57.6">
      <c r="A5" s="1" t="s">
        <v>5302</v>
      </c>
      <c r="B5" s="8" t="s">
        <v>5306</v>
      </c>
      <c r="C5" s="8" t="s">
        <v>5307</v>
      </c>
      <c r="D5" s="8" t="s">
        <v>5305</v>
      </c>
    </row>
    <row r="6" spans="1:4">
      <c r="A6" s="338">
        <v>9</v>
      </c>
      <c r="B6" s="340">
        <f>($B$3+($B$1*$B$2))</f>
        <v>5400</v>
      </c>
      <c r="C6" s="340">
        <f>$B$1*A6</f>
        <v>1350</v>
      </c>
      <c r="D6" s="340">
        <f>C6-B6</f>
        <v>-4050</v>
      </c>
    </row>
    <row r="7" spans="1:4">
      <c r="A7" s="338">
        <v>18</v>
      </c>
      <c r="B7" s="340">
        <f t="shared" ref="B7:B15" si="0">($B$3+($B$1*$B$2))</f>
        <v>5400</v>
      </c>
      <c r="C7" s="340">
        <f t="shared" ref="C7:C15" si="1">$B$1*A7</f>
        <v>2700</v>
      </c>
      <c r="D7" s="340">
        <f t="shared" ref="D7:D15" si="2">C7-B7</f>
        <v>-2700</v>
      </c>
    </row>
    <row r="8" spans="1:4">
      <c r="A8" s="338">
        <v>27</v>
      </c>
      <c r="B8" s="340">
        <f t="shared" si="0"/>
        <v>5400</v>
      </c>
      <c r="C8" s="340">
        <f t="shared" si="1"/>
        <v>4050</v>
      </c>
      <c r="D8" s="340">
        <f t="shared" si="2"/>
        <v>-1350</v>
      </c>
    </row>
    <row r="9" spans="1:4">
      <c r="A9" s="338">
        <v>36</v>
      </c>
      <c r="B9" s="340">
        <f t="shared" si="0"/>
        <v>5400</v>
      </c>
      <c r="C9" s="340">
        <f t="shared" si="1"/>
        <v>5400</v>
      </c>
      <c r="D9" s="340">
        <f t="shared" si="2"/>
        <v>0</v>
      </c>
    </row>
    <row r="10" spans="1:4">
      <c r="A10" s="338">
        <v>45</v>
      </c>
      <c r="B10" s="340">
        <f t="shared" si="0"/>
        <v>5400</v>
      </c>
      <c r="C10" s="340">
        <f t="shared" si="1"/>
        <v>6750</v>
      </c>
      <c r="D10" s="340">
        <f t="shared" si="2"/>
        <v>1350</v>
      </c>
    </row>
    <row r="11" spans="1:4">
      <c r="A11" s="338">
        <v>54</v>
      </c>
      <c r="B11" s="340">
        <f t="shared" si="0"/>
        <v>5400</v>
      </c>
      <c r="C11" s="340">
        <f t="shared" si="1"/>
        <v>8100</v>
      </c>
      <c r="D11" s="340">
        <f t="shared" si="2"/>
        <v>2700</v>
      </c>
    </row>
    <row r="12" spans="1:4">
      <c r="A12" s="338">
        <v>63</v>
      </c>
      <c r="B12" s="340">
        <f t="shared" si="0"/>
        <v>5400</v>
      </c>
      <c r="C12" s="340">
        <f t="shared" si="1"/>
        <v>9450</v>
      </c>
      <c r="D12" s="340">
        <f t="shared" si="2"/>
        <v>4050</v>
      </c>
    </row>
    <row r="13" spans="1:4">
      <c r="A13" s="338">
        <v>72</v>
      </c>
      <c r="B13" s="340">
        <f t="shared" si="0"/>
        <v>5400</v>
      </c>
      <c r="C13" s="340">
        <f t="shared" si="1"/>
        <v>10800</v>
      </c>
      <c r="D13" s="340">
        <f t="shared" si="2"/>
        <v>5400</v>
      </c>
    </row>
    <row r="14" spans="1:4">
      <c r="A14" s="338">
        <v>81</v>
      </c>
      <c r="B14" s="340">
        <f t="shared" si="0"/>
        <v>5400</v>
      </c>
      <c r="C14" s="340">
        <f t="shared" si="1"/>
        <v>12150</v>
      </c>
      <c r="D14" s="340">
        <f t="shared" si="2"/>
        <v>6750</v>
      </c>
    </row>
    <row r="15" spans="1:4">
      <c r="A15" s="338">
        <v>90</v>
      </c>
      <c r="B15" s="340">
        <f t="shared" si="0"/>
        <v>5400</v>
      </c>
      <c r="C15" s="340">
        <f t="shared" si="1"/>
        <v>13500</v>
      </c>
      <c r="D15" s="340">
        <f t="shared" si="2"/>
        <v>8100</v>
      </c>
    </row>
  </sheetData>
  <pageMargins left="0.7" right="0.7" top="0.75" bottom="0.75" header="0.3" footer="0.3"/>
  <drawing r:id="rId1"/>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885-026B-4D26-BBD9-7082E983B3CE}">
  <sheetPr codeName="Sheet702"/>
  <dimension ref="B1:C7"/>
  <sheetViews>
    <sheetView workbookViewId="0">
      <selection activeCell="D5" sqref="D5"/>
    </sheetView>
  </sheetViews>
  <sheetFormatPr defaultRowHeight="14.4"/>
  <cols>
    <col min="2" max="2" width="23.44140625" bestFit="1" customWidth="1"/>
    <col min="3" max="3" width="8.6640625" customWidth="1"/>
  </cols>
  <sheetData>
    <row r="1" spans="2:3" ht="15" thickBot="1"/>
    <row r="2" spans="2:3" ht="15" thickBot="1">
      <c r="B2" s="404" t="s">
        <v>5323</v>
      </c>
      <c r="C2" s="406"/>
    </row>
    <row r="3" spans="2:3">
      <c r="B3" s="183" t="s">
        <v>5313</v>
      </c>
      <c r="C3" s="347">
        <v>15</v>
      </c>
    </row>
    <row r="4" spans="2:3">
      <c r="B4" s="180" t="s">
        <v>5314</v>
      </c>
      <c r="C4" s="344">
        <v>5</v>
      </c>
    </row>
    <row r="5" spans="2:3">
      <c r="B5" s="180" t="s">
        <v>5317</v>
      </c>
      <c r="C5" s="344">
        <v>50000</v>
      </c>
    </row>
    <row r="6" spans="2:3">
      <c r="B6" s="266"/>
      <c r="C6" s="267"/>
    </row>
    <row r="7" spans="2:3" ht="15" thickBot="1">
      <c r="B7" s="276" t="s">
        <v>5322</v>
      </c>
      <c r="C7" s="179">
        <f>C5/(C3-C4)</f>
        <v>5000</v>
      </c>
    </row>
  </sheetData>
  <mergeCells count="1">
    <mergeCell ref="B2:C2"/>
  </mergeCells>
  <pageMargins left="0.7" right="0.7" top="0.75" bottom="0.75" header="0.3" footer="0.3"/>
  <pageSetup orientation="portrait" horizontalDpi="4294967293" verticalDpi="0"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2767-63FC-4070-A03E-05E10FC5A4F0}">
  <sheetPr codeName="Sheet703"/>
  <dimension ref="B1:Q9"/>
  <sheetViews>
    <sheetView workbookViewId="0">
      <selection activeCell="C3" sqref="C3"/>
    </sheetView>
  </sheetViews>
  <sheetFormatPr defaultRowHeight="14.4"/>
  <cols>
    <col min="2" max="2" width="16.109375" bestFit="1" customWidth="1"/>
    <col min="3" max="3" width="10.6640625" customWidth="1"/>
    <col min="4" max="4" width="27.109375" bestFit="1" customWidth="1"/>
  </cols>
  <sheetData>
    <row r="1" spans="2:17">
      <c r="B1" s="369" t="s">
        <v>5315</v>
      </c>
      <c r="C1" s="369"/>
      <c r="D1" s="369"/>
    </row>
    <row r="2" spans="2:17">
      <c r="B2" s="1" t="s">
        <v>2887</v>
      </c>
      <c r="C2" s="1" t="s">
        <v>1727</v>
      </c>
      <c r="D2" s="1" t="s">
        <v>1570</v>
      </c>
    </row>
    <row r="3" spans="2:17">
      <c r="B3" s="2" t="s">
        <v>5302</v>
      </c>
      <c r="C3" s="342">
        <f>(C8/C4)+C6</f>
        <v>60</v>
      </c>
      <c r="D3" s="55" t="s">
        <v>5324</v>
      </c>
    </row>
    <row r="4" spans="2:17">
      <c r="B4" s="2" t="s">
        <v>210</v>
      </c>
      <c r="C4" s="2">
        <v>30</v>
      </c>
      <c r="D4" s="55"/>
      <c r="Q4" t="s">
        <v>5316</v>
      </c>
    </row>
    <row r="5" spans="2:17">
      <c r="B5" s="2" t="s">
        <v>289</v>
      </c>
      <c r="C5" s="343">
        <f>C3*C4</f>
        <v>1800</v>
      </c>
      <c r="D5" s="55" t="s">
        <v>5325</v>
      </c>
    </row>
    <row r="6" spans="2:17">
      <c r="B6" s="2" t="s">
        <v>5304</v>
      </c>
      <c r="C6" s="83">
        <v>10</v>
      </c>
      <c r="D6" s="55"/>
    </row>
    <row r="7" spans="2:17">
      <c r="B7" s="2" t="s">
        <v>5309</v>
      </c>
      <c r="C7" s="343">
        <f>C4*C6</f>
        <v>300</v>
      </c>
      <c r="D7" s="55" t="s">
        <v>5326</v>
      </c>
    </row>
    <row r="8" spans="2:17">
      <c r="B8" s="2" t="s">
        <v>5303</v>
      </c>
      <c r="C8" s="83">
        <v>1500</v>
      </c>
      <c r="D8" s="55"/>
    </row>
    <row r="9" spans="2:17">
      <c r="B9" s="2" t="s">
        <v>3741</v>
      </c>
      <c r="C9" s="338">
        <v>0</v>
      </c>
      <c r="D9" s="55"/>
    </row>
  </sheetData>
  <mergeCells count="1">
    <mergeCell ref="B1:D1"/>
  </mergeCells>
  <pageMargins left="0.7" right="0.7" top="0.75" bottom="0.75" header="0.3" footer="0.3"/>
  <pageSetup orientation="portrait" horizontalDpi="4294967293" verticalDpi="0" r:id="rId1"/>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539-06BE-4DF1-A098-10390CE1570A}">
  <sheetPr codeName="Sheet704"/>
  <dimension ref="C1:D8"/>
  <sheetViews>
    <sheetView workbookViewId="0">
      <selection activeCell="C4" sqref="C4"/>
    </sheetView>
  </sheetViews>
  <sheetFormatPr defaultRowHeight="14.4"/>
  <cols>
    <col min="3" max="3" width="26.109375" bestFit="1" customWidth="1"/>
    <col min="4" max="4" width="8.33203125" bestFit="1" customWidth="1"/>
  </cols>
  <sheetData>
    <row r="1" spans="3:4" ht="15" thickBot="1"/>
    <row r="2" spans="3:4" ht="15" thickBot="1">
      <c r="C2" s="404" t="s">
        <v>5318</v>
      </c>
      <c r="D2" s="406"/>
    </row>
    <row r="3" spans="3:4">
      <c r="C3" s="183" t="s">
        <v>289</v>
      </c>
      <c r="D3" s="347">
        <v>100000</v>
      </c>
    </row>
    <row r="4" spans="3:4">
      <c r="C4" s="180" t="s">
        <v>5319</v>
      </c>
      <c r="D4" s="344">
        <v>20000</v>
      </c>
    </row>
    <row r="5" spans="3:4">
      <c r="C5" s="180" t="s">
        <v>5317</v>
      </c>
      <c r="D5" s="344">
        <v>50000</v>
      </c>
    </row>
    <row r="6" spans="3:4">
      <c r="C6" s="266"/>
      <c r="D6" s="267"/>
    </row>
    <row r="7" spans="3:4">
      <c r="C7" s="180" t="s">
        <v>5320</v>
      </c>
      <c r="D7" s="178">
        <f>1-(D4/D3)</f>
        <v>0.8</v>
      </c>
    </row>
    <row r="8" spans="3:4" ht="15" thickBot="1">
      <c r="C8" s="345" t="s">
        <v>5321</v>
      </c>
      <c r="D8" s="346">
        <f>D5/D7</f>
        <v>62500</v>
      </c>
    </row>
  </sheetData>
  <mergeCells count="1">
    <mergeCell ref="C2:D2"/>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7BC1-5715-4C11-BC86-656AC32D7C27}">
  <sheetPr codeName="Sheet705"/>
  <dimension ref="A1:C6"/>
  <sheetViews>
    <sheetView workbookViewId="0">
      <selection activeCell="B2" sqref="B2"/>
    </sheetView>
  </sheetViews>
  <sheetFormatPr defaultRowHeight="14.4"/>
  <cols>
    <col min="1" max="1" width="14.5546875" bestFit="1" customWidth="1"/>
    <col min="2" max="2" width="14.6640625" bestFit="1" customWidth="1"/>
    <col min="3" max="3" width="28.88671875" bestFit="1" customWidth="1"/>
  </cols>
  <sheetData>
    <row r="1" spans="1:3">
      <c r="A1" s="1" t="s">
        <v>5327</v>
      </c>
      <c r="B1" s="1" t="s">
        <v>5328</v>
      </c>
      <c r="C1" s="1" t="s">
        <v>1145</v>
      </c>
    </row>
    <row r="2" spans="1:3">
      <c r="A2" s="2">
        <v>0</v>
      </c>
      <c r="B2" s="7">
        <f>DEGREES(A2)</f>
        <v>0</v>
      </c>
      <c r="C2" s="55" t="s">
        <v>5329</v>
      </c>
    </row>
    <row r="3" spans="1:3">
      <c r="A3" s="2">
        <v>0.52359877559829882</v>
      </c>
      <c r="B3" s="7">
        <f t="shared" ref="B3:B6" si="0">DEGREES(A3)</f>
        <v>29.999999999999996</v>
      </c>
      <c r="C3" s="55" t="s">
        <v>5330</v>
      </c>
    </row>
    <row r="4" spans="1:3">
      <c r="A4" s="2">
        <v>1.0471975511965976</v>
      </c>
      <c r="B4" s="7">
        <f t="shared" si="0"/>
        <v>59.999999999999993</v>
      </c>
      <c r="C4" s="55" t="s">
        <v>5331</v>
      </c>
    </row>
    <row r="5" spans="1:3">
      <c r="A5" s="2">
        <v>1.5707963267948966</v>
      </c>
      <c r="B5" s="7">
        <f t="shared" si="0"/>
        <v>90</v>
      </c>
      <c r="C5" s="55" t="s">
        <v>5332</v>
      </c>
    </row>
    <row r="6" spans="1:3">
      <c r="A6" s="2">
        <v>3.1415926535897931</v>
      </c>
      <c r="B6" s="7">
        <f t="shared" si="0"/>
        <v>180</v>
      </c>
      <c r="C6" s="55" t="s">
        <v>5333</v>
      </c>
    </row>
  </sheetData>
  <pageMargins left="0.7" right="0.7" top="0.75" bottom="0.75" header="0.3" footer="0.3"/>
  <pageSetup orientation="portrait" horizontalDpi="4294967293" verticalDpi="0"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C217-6706-413D-8D39-D7BF90AFDE40}">
  <sheetPr codeName="Sheet706"/>
  <dimension ref="B2:C7"/>
  <sheetViews>
    <sheetView workbookViewId="0">
      <selection activeCell="B2" sqref="B2"/>
    </sheetView>
  </sheetViews>
  <sheetFormatPr defaultRowHeight="14.4"/>
  <cols>
    <col min="2" max="2" width="14.5546875" bestFit="1" customWidth="1"/>
    <col min="3" max="3" width="14.6640625" bestFit="1" customWidth="1"/>
  </cols>
  <sheetData>
    <row r="2" spans="2:3">
      <c r="B2" s="1" t="s">
        <v>5327</v>
      </c>
      <c r="C2" s="1" t="s">
        <v>5328</v>
      </c>
    </row>
    <row r="3" spans="2:3">
      <c r="B3" s="2">
        <v>6.9813170079773182E-2</v>
      </c>
      <c r="C3" s="7">
        <f>DEGREES(B3)</f>
        <v>4</v>
      </c>
    </row>
    <row r="4" spans="2:3">
      <c r="B4" s="2">
        <v>0.13962634015954636</v>
      </c>
      <c r="C4" s="7">
        <f t="shared" ref="C4:C6" si="0">DEGREES(B4)</f>
        <v>8</v>
      </c>
    </row>
    <row r="5" spans="2:3">
      <c r="B5" s="2">
        <v>0.20943951023931956</v>
      </c>
      <c r="C5" s="7">
        <f t="shared" si="0"/>
        <v>12.000000000000002</v>
      </c>
    </row>
    <row r="6" spans="2:3">
      <c r="B6" s="2">
        <v>0.27925268031909273</v>
      </c>
      <c r="C6" s="7">
        <f t="shared" si="0"/>
        <v>16</v>
      </c>
    </row>
    <row r="7" spans="2:3">
      <c r="B7" s="2">
        <v>0.3490658503988659</v>
      </c>
      <c r="C7" s="7">
        <f>DEGREES(B7)</f>
        <v>20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8B9A-35DA-4E56-8F88-DED3BFE2E32D}">
  <sheetPr codeName="Sheet707"/>
  <dimension ref="C3:D8"/>
  <sheetViews>
    <sheetView workbookViewId="0">
      <selection activeCell="B2" sqref="B2"/>
    </sheetView>
  </sheetViews>
  <sheetFormatPr defaultRowHeight="14.4"/>
  <cols>
    <col min="3" max="3" width="22.44140625" bestFit="1" customWidth="1"/>
    <col min="4" max="4" width="22.5546875" bestFit="1" customWidth="1"/>
  </cols>
  <sheetData>
    <row r="3" spans="3:4">
      <c r="C3" s="1" t="s">
        <v>5335</v>
      </c>
      <c r="D3" s="1" t="s">
        <v>5334</v>
      </c>
    </row>
    <row r="4" spans="3:4">
      <c r="C4" s="2">
        <v>-2.1816615649929099</v>
      </c>
      <c r="D4" s="7">
        <f>DEGREES(C4)</f>
        <v>-124.99999999999989</v>
      </c>
    </row>
    <row r="5" spans="3:4">
      <c r="C5" s="2">
        <v>-2.3736477827122902</v>
      </c>
      <c r="D5" s="7">
        <f t="shared" ref="D5:D8" si="0">DEGREES(C5)</f>
        <v>-136.00000000000011</v>
      </c>
    </row>
    <row r="6" spans="3:4">
      <c r="C6" s="2">
        <v>-4.3109632524259904</v>
      </c>
      <c r="D6" s="7">
        <f t="shared" si="0"/>
        <v>-246.9999999999998</v>
      </c>
    </row>
    <row r="7" spans="3:4">
      <c r="C7" s="2">
        <v>-4.5029494701453698</v>
      </c>
      <c r="D7" s="7">
        <f t="shared" si="0"/>
        <v>-258</v>
      </c>
    </row>
    <row r="8" spans="3:4">
      <c r="C8" s="2">
        <v>-4.6949356878647501</v>
      </c>
      <c r="D8" s="7">
        <f t="shared" si="0"/>
        <v>-269.00000000000023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6824-BF9E-4DEC-BD6E-2E1D4E837584}">
  <sheetPr codeName="Sheet708"/>
  <dimension ref="B2:D8"/>
  <sheetViews>
    <sheetView workbookViewId="0">
      <selection activeCell="B2" sqref="B2"/>
    </sheetView>
  </sheetViews>
  <sheetFormatPr defaultRowHeight="14.4"/>
  <cols>
    <col min="2" max="2" width="16.6640625" bestFit="1" customWidth="1"/>
    <col min="3" max="3" width="17.33203125" bestFit="1" customWidth="1"/>
    <col min="4" max="4" width="17.44140625" bestFit="1" customWidth="1"/>
  </cols>
  <sheetData>
    <row r="2" spans="2:4">
      <c r="B2" s="369" t="s">
        <v>5336</v>
      </c>
      <c r="C2" s="369"/>
      <c r="D2" s="369"/>
    </row>
    <row r="3" spans="2:4">
      <c r="B3" s="1" t="s">
        <v>5339</v>
      </c>
      <c r="C3" s="1" t="s">
        <v>5337</v>
      </c>
      <c r="D3" s="1" t="s">
        <v>5338</v>
      </c>
    </row>
    <row r="4" spans="2:4">
      <c r="B4" s="2">
        <v>-1</v>
      </c>
      <c r="C4" s="7">
        <f>ACOS(B4)</f>
        <v>3.1415926535897931</v>
      </c>
      <c r="D4" s="7">
        <f>DEGREES(C4)</f>
        <v>180</v>
      </c>
    </row>
    <row r="5" spans="2:4">
      <c r="B5" s="2">
        <v>-0.5</v>
      </c>
      <c r="C5" s="7">
        <f t="shared" ref="C5:C8" si="0">ACOS(B5)</f>
        <v>2.0943951023931957</v>
      </c>
      <c r="D5" s="7">
        <f t="shared" ref="D5:D8" si="1">DEGREES(C5)</f>
        <v>120.00000000000001</v>
      </c>
    </row>
    <row r="6" spans="2:4">
      <c r="B6" s="2">
        <v>0</v>
      </c>
      <c r="C6" s="7">
        <f t="shared" si="0"/>
        <v>1.5707963267948966</v>
      </c>
      <c r="D6" s="7">
        <f t="shared" si="1"/>
        <v>90</v>
      </c>
    </row>
    <row r="7" spans="2:4">
      <c r="B7" s="2">
        <v>0.5</v>
      </c>
      <c r="C7" s="7">
        <f t="shared" si="0"/>
        <v>1.0471975511965976</v>
      </c>
      <c r="D7" s="7">
        <f t="shared" si="1"/>
        <v>59.999999999999993</v>
      </c>
    </row>
    <row r="8" spans="2:4">
      <c r="B8" s="2">
        <v>1</v>
      </c>
      <c r="C8" s="7">
        <f t="shared" si="0"/>
        <v>0</v>
      </c>
      <c r="D8" s="7">
        <f t="shared" si="1"/>
        <v>0</v>
      </c>
    </row>
  </sheetData>
  <mergeCells count="1">
    <mergeCell ref="B2:D2"/>
  </mergeCell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32A6-658F-4A2B-8519-318988DEE0B7}">
  <sheetPr codeName="Sheet709"/>
  <dimension ref="C3:E8"/>
  <sheetViews>
    <sheetView workbookViewId="0">
      <selection activeCell="B2" sqref="B2"/>
    </sheetView>
  </sheetViews>
  <sheetFormatPr defaultRowHeight="14.4"/>
  <cols>
    <col min="3" max="3" width="14.5546875" bestFit="1" customWidth="1"/>
    <col min="4" max="4" width="25.5546875" bestFit="1" customWidth="1"/>
    <col min="5" max="5" width="38.44140625" bestFit="1" customWidth="1"/>
  </cols>
  <sheetData>
    <row r="3" spans="3:5">
      <c r="C3" s="1" t="s">
        <v>5327</v>
      </c>
      <c r="D3" s="1" t="s">
        <v>5340</v>
      </c>
      <c r="E3" s="1" t="s">
        <v>5341</v>
      </c>
    </row>
    <row r="4" spans="3:5">
      <c r="C4" s="2">
        <v>2.4561000000000002</v>
      </c>
      <c r="D4" s="7">
        <f>DEGREES(C4)</f>
        <v>140.72416406208151</v>
      </c>
      <c r="E4" s="7">
        <f>C4*180/PI()</f>
        <v>140.72416406208148</v>
      </c>
    </row>
    <row r="5" spans="3:5">
      <c r="C5" s="2">
        <v>3.8898000000000001</v>
      </c>
      <c r="D5" s="7">
        <f t="shared" ref="D5:D8" si="0">DEGREES(C5)</f>
        <v>222.86912314998762</v>
      </c>
      <c r="E5" s="7">
        <f t="shared" ref="E5:E8" si="1">C5*180/PI()</f>
        <v>222.86912314998762</v>
      </c>
    </row>
    <row r="6" spans="3:5">
      <c r="C6" s="2">
        <v>4.1936</v>
      </c>
      <c r="D6" s="7">
        <f t="shared" si="0"/>
        <v>240.27558096606202</v>
      </c>
      <c r="E6" s="7">
        <f t="shared" si="1"/>
        <v>240.27558096606202</v>
      </c>
    </row>
    <row r="7" spans="3:5">
      <c r="C7" s="2">
        <v>5.2751000000000001</v>
      </c>
      <c r="D7" s="7">
        <f t="shared" si="0"/>
        <v>302.24096650946058</v>
      </c>
      <c r="E7" s="7">
        <f t="shared" si="1"/>
        <v>302.24096650946058</v>
      </c>
    </row>
    <row r="8" spans="3:5">
      <c r="C8" s="2">
        <v>6.1177999999999999</v>
      </c>
      <c r="D8" s="7">
        <f t="shared" si="0"/>
        <v>350.52411990513502</v>
      </c>
      <c r="E8" s="7">
        <f t="shared" si="1"/>
        <v>350.52411990513502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6498-114E-4486-A269-589111E5D138}">
  <sheetPr codeName="Sheet710"/>
  <dimension ref="A1:B7"/>
  <sheetViews>
    <sheetView workbookViewId="0">
      <selection activeCell="B19" sqref="B19"/>
    </sheetView>
  </sheetViews>
  <sheetFormatPr defaultRowHeight="14.4"/>
  <cols>
    <col min="1" max="1" width="14.5546875" bestFit="1" customWidth="1"/>
    <col min="2" max="2" width="14.6640625" bestFit="1" customWidth="1"/>
  </cols>
  <sheetData>
    <row r="1" spans="1:2">
      <c r="A1" s="1" t="s">
        <v>5327</v>
      </c>
      <c r="B1" s="1" t="s">
        <v>5328</v>
      </c>
    </row>
    <row r="2" spans="1:2">
      <c r="A2" s="2">
        <v>5.4105206811824216</v>
      </c>
      <c r="B2" s="7">
        <v>310</v>
      </c>
    </row>
    <row r="3" spans="1:2">
      <c r="A3" s="2">
        <v>5.5850536063818543</v>
      </c>
      <c r="B3" s="7">
        <v>320</v>
      </c>
    </row>
    <row r="4" spans="1:2">
      <c r="A4" s="2">
        <v>5.7595865315812871</v>
      </c>
      <c r="B4" s="7">
        <v>330</v>
      </c>
    </row>
    <row r="5" spans="1:2">
      <c r="A5" s="2">
        <v>5.9341194567807207</v>
      </c>
      <c r="B5" s="7">
        <v>340</v>
      </c>
    </row>
    <row r="6" spans="1:2">
      <c r="A6" s="2">
        <v>6.1086523819801535</v>
      </c>
      <c r="B6" s="7">
        <v>350</v>
      </c>
    </row>
    <row r="7" spans="1:2">
      <c r="A7" s="2">
        <v>6.2831853071795862</v>
      </c>
      <c r="B7" s="7">
        <v>360</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E27-92E4-4768-BC40-52303D6FE490}">
  <sheetPr codeName="Sheet711"/>
  <dimension ref="A1:D7"/>
  <sheetViews>
    <sheetView workbookViewId="0">
      <selection activeCell="A2" sqref="A2"/>
    </sheetView>
  </sheetViews>
  <sheetFormatPr defaultRowHeight="14.4"/>
  <cols>
    <col min="1" max="4" width="8.6640625" customWidth="1"/>
  </cols>
  <sheetData>
    <row r="1" spans="1:4">
      <c r="A1" s="1" t="s">
        <v>33</v>
      </c>
      <c r="B1" s="369" t="s">
        <v>5343</v>
      </c>
      <c r="C1" s="369"/>
      <c r="D1" s="369"/>
    </row>
    <row r="2" spans="1:4">
      <c r="A2" s="1"/>
      <c r="B2" s="1" t="s">
        <v>4192</v>
      </c>
      <c r="C2" s="1" t="s">
        <v>4193</v>
      </c>
      <c r="D2" s="1" t="s">
        <v>5342</v>
      </c>
    </row>
    <row r="3" spans="1:4">
      <c r="A3" s="2">
        <v>2018</v>
      </c>
      <c r="B3" s="136">
        <v>24.5</v>
      </c>
      <c r="C3" s="136">
        <v>30.2</v>
      </c>
      <c r="D3" s="136">
        <v>25.49</v>
      </c>
    </row>
    <row r="4" spans="1:4">
      <c r="A4" s="2">
        <v>2019</v>
      </c>
      <c r="B4" s="136">
        <v>33.1</v>
      </c>
      <c r="C4" s="136">
        <v>35.19</v>
      </c>
      <c r="D4" s="136">
        <v>31.87</v>
      </c>
    </row>
    <row r="5" spans="1:4">
      <c r="A5" s="2">
        <v>2020</v>
      </c>
      <c r="B5" s="136">
        <v>20.010000000000002</v>
      </c>
      <c r="C5" s="136">
        <v>10.55</v>
      </c>
      <c r="D5" s="136">
        <v>22</v>
      </c>
    </row>
    <row r="6" spans="1:4">
      <c r="A6" s="2">
        <v>2021</v>
      </c>
      <c r="B6" s="136">
        <v>22.9</v>
      </c>
      <c r="C6" s="136">
        <v>38.53</v>
      </c>
      <c r="D6" s="136">
        <v>40.85</v>
      </c>
    </row>
    <row r="7" spans="1:4">
      <c r="A7" s="2">
        <v>2022</v>
      </c>
      <c r="B7" s="136">
        <v>29.44</v>
      </c>
      <c r="C7" s="136">
        <v>44.18</v>
      </c>
      <c r="D7" s="136">
        <v>47.36</v>
      </c>
    </row>
  </sheetData>
  <mergeCells count="1">
    <mergeCell ref="B1:D1"/>
  </mergeCells>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ED2-7136-4C0B-A0C8-C7DBFD3E9B65}">
  <sheetPr codeName="Sheet712"/>
  <dimension ref="A1:D7"/>
  <sheetViews>
    <sheetView workbookViewId="0">
      <selection activeCell="A2" sqref="A2"/>
    </sheetView>
  </sheetViews>
  <sheetFormatPr defaultRowHeight="14.4"/>
  <cols>
    <col min="1" max="1" width="13.88671875" bestFit="1" customWidth="1"/>
    <col min="2" max="4" width="13.33203125" customWidth="1"/>
  </cols>
  <sheetData>
    <row r="1" spans="1:4">
      <c r="B1" s="371" t="s">
        <v>5352</v>
      </c>
      <c r="C1" s="372"/>
      <c r="D1" s="373"/>
    </row>
    <row r="2" spans="1:4">
      <c r="A2" s="1" t="s">
        <v>0</v>
      </c>
      <c r="B2" s="1" t="s">
        <v>5349</v>
      </c>
      <c r="C2" s="1" t="s">
        <v>5350</v>
      </c>
      <c r="D2" s="1" t="s">
        <v>5351</v>
      </c>
    </row>
    <row r="3" spans="1:4">
      <c r="A3" s="2" t="s">
        <v>5344</v>
      </c>
      <c r="B3" s="2">
        <v>98</v>
      </c>
      <c r="C3" s="2">
        <v>95</v>
      </c>
      <c r="D3" s="2">
        <v>90</v>
      </c>
    </row>
    <row r="4" spans="1:4">
      <c r="A4" s="2" t="s">
        <v>5345</v>
      </c>
      <c r="B4" s="2">
        <v>100</v>
      </c>
      <c r="C4" s="2">
        <v>91</v>
      </c>
      <c r="D4" s="2">
        <v>88</v>
      </c>
    </row>
    <row r="5" spans="1:4">
      <c r="A5" s="2" t="s">
        <v>5346</v>
      </c>
      <c r="B5" s="2">
        <v>95</v>
      </c>
      <c r="C5" s="2">
        <v>94</v>
      </c>
      <c r="D5" s="2">
        <v>92</v>
      </c>
    </row>
    <row r="6" spans="1:4">
      <c r="A6" s="2" t="s">
        <v>5347</v>
      </c>
      <c r="B6" s="2">
        <v>94</v>
      </c>
      <c r="C6" s="2">
        <v>93</v>
      </c>
      <c r="D6" s="2">
        <v>85</v>
      </c>
    </row>
    <row r="7" spans="1:4">
      <c r="A7" s="2" t="s">
        <v>5348</v>
      </c>
      <c r="B7" s="2">
        <v>91</v>
      </c>
      <c r="C7" s="2">
        <v>90</v>
      </c>
      <c r="D7" s="2">
        <v>88</v>
      </c>
    </row>
  </sheetData>
  <mergeCells count="1">
    <mergeCell ref="B1:D1"/>
  </mergeCells>
  <pageMargins left="0.7" right="0.7" top="0.75" bottom="0.75" header="0.3" footer="0.3"/>
  <pageSetup orientation="portrait" horizontalDpi="4294967293" verticalDpi="0" r:id="rId1"/>
  <drawing r:id="rId2"/>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FA53-9649-4E0B-8877-794BFD5B3FFD}">
  <sheetPr codeName="Sheet713"/>
  <dimension ref="A1:C6"/>
  <sheetViews>
    <sheetView workbookViewId="0">
      <selection activeCell="A2" sqref="A2"/>
    </sheetView>
  </sheetViews>
  <sheetFormatPr defaultRowHeight="14.4"/>
  <cols>
    <col min="1" max="1" width="8.6640625" customWidth="1"/>
    <col min="2" max="2" width="15.44140625" bestFit="1" customWidth="1"/>
    <col min="3" max="3" width="15.33203125" bestFit="1" customWidth="1"/>
  </cols>
  <sheetData>
    <row r="1" spans="1:3">
      <c r="A1" s="1" t="s">
        <v>33</v>
      </c>
      <c r="B1" s="1" t="s">
        <v>5354</v>
      </c>
      <c r="C1" s="1" t="s">
        <v>5353</v>
      </c>
    </row>
    <row r="2" spans="1:3">
      <c r="A2" s="2">
        <v>2016</v>
      </c>
      <c r="B2" s="83">
        <v>12000</v>
      </c>
      <c r="C2" s="83">
        <v>48000</v>
      </c>
    </row>
    <row r="3" spans="1:3">
      <c r="A3" s="2">
        <v>2017</v>
      </c>
      <c r="B3" s="83">
        <v>14400</v>
      </c>
      <c r="C3" s="83">
        <v>54000</v>
      </c>
    </row>
    <row r="4" spans="1:3">
      <c r="A4" s="2">
        <v>2018</v>
      </c>
      <c r="B4" s="83">
        <v>18000</v>
      </c>
      <c r="C4" s="83">
        <v>42000</v>
      </c>
    </row>
    <row r="5" spans="1:3">
      <c r="A5" s="2">
        <v>2019</v>
      </c>
      <c r="B5" s="83">
        <v>13200</v>
      </c>
      <c r="C5" s="83">
        <v>36000</v>
      </c>
    </row>
    <row r="6" spans="1:3">
      <c r="A6" s="2">
        <v>2020</v>
      </c>
      <c r="B6" s="83">
        <v>24000</v>
      </c>
      <c r="C6" s="83">
        <v>66000</v>
      </c>
    </row>
  </sheetData>
  <pageMargins left="0.7" right="0.7" top="0.75" bottom="0.75" header="0.3" footer="0.3"/>
  <drawing r:id="rId1"/>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40D8-2E09-4823-A0D7-DC71A53FDDB0}">
  <sheetPr codeName="Sheet714"/>
  <dimension ref="A1:D7"/>
  <sheetViews>
    <sheetView workbookViewId="0">
      <selection activeCell="A2" sqref="A2"/>
    </sheetView>
  </sheetViews>
  <sheetFormatPr defaultRowHeight="14.4"/>
  <cols>
    <col min="2" max="2" width="12.5546875" bestFit="1" customWidth="1"/>
  </cols>
  <sheetData>
    <row r="1" spans="1:4">
      <c r="B1" s="371" t="s">
        <v>1457</v>
      </c>
      <c r="C1" s="372"/>
      <c r="D1" s="373"/>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500C-3D65-4D86-8E91-DC50C64E8482}">
  <sheetPr codeName="Sheet715"/>
  <dimension ref="A1:D7"/>
  <sheetViews>
    <sheetView workbookViewId="0">
      <selection activeCell="A2" sqref="A2"/>
    </sheetView>
  </sheetViews>
  <sheetFormatPr defaultRowHeight="14.4"/>
  <cols>
    <col min="2" max="2" width="12.5546875" bestFit="1" customWidth="1"/>
  </cols>
  <sheetData>
    <row r="1" spans="1:4">
      <c r="B1" s="371" t="s">
        <v>1457</v>
      </c>
      <c r="C1" s="372"/>
      <c r="D1" s="373"/>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A77-E66E-4F4F-A72F-AF2A65010FE3}">
  <sheetPr codeName="Sheet716"/>
  <dimension ref="A1:E9"/>
  <sheetViews>
    <sheetView workbookViewId="0">
      <selection activeCell="A2" sqref="A2"/>
    </sheetView>
  </sheetViews>
  <sheetFormatPr defaultRowHeight="14.4"/>
  <sheetData>
    <row r="1" spans="1:5">
      <c r="B1" s="369" t="s">
        <v>5356</v>
      </c>
      <c r="C1" s="369"/>
      <c r="D1" s="369"/>
      <c r="E1" s="369"/>
    </row>
    <row r="2" spans="1:5">
      <c r="A2" s="1" t="s">
        <v>3134</v>
      </c>
      <c r="B2" s="1" t="s">
        <v>3151</v>
      </c>
      <c r="C2" s="1" t="s">
        <v>3153</v>
      </c>
      <c r="D2" s="1" t="s">
        <v>3152</v>
      </c>
      <c r="E2" s="1" t="s">
        <v>3154</v>
      </c>
    </row>
    <row r="3" spans="1:5">
      <c r="A3" s="2" t="s">
        <v>3146</v>
      </c>
      <c r="B3" s="338">
        <v>10000</v>
      </c>
      <c r="C3" s="338">
        <v>8000</v>
      </c>
      <c r="D3" s="338">
        <v>16000</v>
      </c>
      <c r="E3" s="338">
        <v>5000</v>
      </c>
    </row>
    <row r="4" spans="1:5">
      <c r="A4" s="2" t="s">
        <v>3147</v>
      </c>
      <c r="B4" s="338">
        <v>13000</v>
      </c>
      <c r="C4" s="338">
        <v>16000</v>
      </c>
      <c r="D4" s="338">
        <v>18500</v>
      </c>
      <c r="E4" s="338">
        <v>8000</v>
      </c>
    </row>
    <row r="5" spans="1:5">
      <c r="A5" s="2" t="s">
        <v>3148</v>
      </c>
      <c r="B5" s="338">
        <v>18000</v>
      </c>
      <c r="C5" s="338">
        <v>13000</v>
      </c>
      <c r="D5" s="338">
        <v>14000</v>
      </c>
      <c r="E5" s="338">
        <v>1000</v>
      </c>
    </row>
    <row r="6" spans="1:5">
      <c r="A6" s="2" t="s">
        <v>3149</v>
      </c>
      <c r="B6" s="338">
        <v>15000</v>
      </c>
      <c r="C6" s="338">
        <v>11000</v>
      </c>
      <c r="D6" s="338">
        <v>20000</v>
      </c>
      <c r="E6" s="338">
        <v>6000</v>
      </c>
    </row>
    <row r="8" spans="1:5">
      <c r="C8" s="332"/>
    </row>
    <row r="9" spans="1:5">
      <c r="B9" s="348"/>
    </row>
  </sheetData>
  <mergeCells count="1">
    <mergeCell ref="B1:E1"/>
  </mergeCells>
  <pageMargins left="0.7" right="0.7" top="0.75" bottom="0.75" header="0.3" footer="0.3"/>
  <drawing r:id="rId1"/>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B9-91FE-4D5F-8A1A-D811BA8DBAA8}">
  <sheetPr codeName="Sheet717"/>
  <dimension ref="A1:E6"/>
  <sheetViews>
    <sheetView workbookViewId="0"/>
  </sheetViews>
  <sheetFormatPr defaultRowHeight="14.4"/>
  <cols>
    <col min="2" max="5" width="8.6640625" customWidth="1"/>
  </cols>
  <sheetData>
    <row r="1" spans="1:5">
      <c r="A1" s="1" t="s">
        <v>33</v>
      </c>
      <c r="B1" s="371" t="s">
        <v>5358</v>
      </c>
      <c r="C1" s="372"/>
      <c r="D1" s="372"/>
      <c r="E1" s="373"/>
    </row>
    <row r="2" spans="1:5">
      <c r="A2" s="1"/>
      <c r="B2" s="1" t="s">
        <v>5214</v>
      </c>
      <c r="C2" s="1" t="s">
        <v>5215</v>
      </c>
      <c r="D2" s="1" t="s">
        <v>5216</v>
      </c>
      <c r="E2" s="1" t="s">
        <v>5357</v>
      </c>
    </row>
    <row r="3" spans="1:5">
      <c r="A3" s="2">
        <v>2015</v>
      </c>
      <c r="B3" s="338">
        <v>8</v>
      </c>
      <c r="C3" s="338">
        <v>20</v>
      </c>
      <c r="D3" s="338">
        <v>3</v>
      </c>
      <c r="E3" s="338">
        <v>14</v>
      </c>
    </row>
    <row r="4" spans="1:5">
      <c r="A4" s="2">
        <v>2016</v>
      </c>
      <c r="B4" s="338">
        <v>11</v>
      </c>
      <c r="C4" s="338">
        <v>14</v>
      </c>
      <c r="D4" s="338">
        <v>-10</v>
      </c>
      <c r="E4" s="338">
        <v>16</v>
      </c>
    </row>
    <row r="5" spans="1:5">
      <c r="A5" s="2">
        <v>2017</v>
      </c>
      <c r="B5" s="338">
        <v>16</v>
      </c>
      <c r="C5" s="338">
        <v>11</v>
      </c>
      <c r="D5" s="338">
        <v>-7</v>
      </c>
      <c r="E5" s="338">
        <v>12</v>
      </c>
    </row>
    <row r="6" spans="1:5">
      <c r="A6" s="2">
        <v>2018</v>
      </c>
      <c r="B6" s="338">
        <v>13</v>
      </c>
      <c r="C6" s="338">
        <v>9</v>
      </c>
      <c r="D6" s="338">
        <v>-8</v>
      </c>
      <c r="E6" s="338">
        <v>18</v>
      </c>
    </row>
  </sheetData>
  <mergeCells count="1">
    <mergeCell ref="B1:E1"/>
  </mergeCells>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DAA1D-EE64-4774-B9E7-053B0AF58B1A}">
  <sheetPr codeName="Sheet718"/>
  <dimension ref="A1:E6"/>
  <sheetViews>
    <sheetView workbookViewId="0">
      <selection activeCell="A2" sqref="A2"/>
    </sheetView>
  </sheetViews>
  <sheetFormatPr defaultRowHeight="14.4"/>
  <cols>
    <col min="2" max="5" width="8.6640625" customWidth="1"/>
  </cols>
  <sheetData>
    <row r="1" spans="1:5">
      <c r="B1" s="369" t="s">
        <v>5363</v>
      </c>
      <c r="C1" s="369"/>
      <c r="D1" s="369"/>
      <c r="E1" s="369"/>
    </row>
    <row r="2" spans="1:5">
      <c r="A2" s="1" t="s">
        <v>3150</v>
      </c>
      <c r="B2" s="1" t="s">
        <v>3146</v>
      </c>
      <c r="C2" s="1" t="s">
        <v>3147</v>
      </c>
      <c r="D2" s="1" t="s">
        <v>3148</v>
      </c>
      <c r="E2" s="1" t="s">
        <v>3149</v>
      </c>
    </row>
    <row r="3" spans="1:5">
      <c r="A3" s="2" t="s">
        <v>5359</v>
      </c>
      <c r="B3" s="338">
        <v>10</v>
      </c>
      <c r="C3" s="338">
        <v>20</v>
      </c>
      <c r="D3" s="338">
        <v>15</v>
      </c>
      <c r="E3" s="338">
        <v>9</v>
      </c>
    </row>
    <row r="4" spans="1:5">
      <c r="A4" s="2" t="s">
        <v>5360</v>
      </c>
      <c r="B4" s="338">
        <v>8</v>
      </c>
      <c r="C4" s="338">
        <v>24</v>
      </c>
      <c r="D4" s="338">
        <v>20</v>
      </c>
      <c r="E4" s="338">
        <v>18</v>
      </c>
    </row>
    <row r="5" spans="1:5">
      <c r="A5" s="2" t="s">
        <v>5361</v>
      </c>
      <c r="B5" s="338">
        <v>14</v>
      </c>
      <c r="C5" s="338">
        <v>28</v>
      </c>
      <c r="D5" s="338">
        <v>5</v>
      </c>
      <c r="E5" s="338">
        <v>27</v>
      </c>
    </row>
    <row r="6" spans="1:5">
      <c r="A6" s="2" t="s">
        <v>5362</v>
      </c>
      <c r="B6" s="338">
        <v>16</v>
      </c>
      <c r="C6" s="338">
        <v>13</v>
      </c>
      <c r="D6" s="338">
        <v>10</v>
      </c>
      <c r="E6" s="338">
        <v>36</v>
      </c>
    </row>
  </sheetData>
  <mergeCells count="1">
    <mergeCell ref="B1:E1"/>
  </mergeCells>
  <pageMargins left="0.7" right="0.7" top="0.75" bottom="0.75" header="0.3" footer="0.3"/>
  <pageSetup orientation="portrait" horizontalDpi="4294967293" verticalDpi="0" r:id="rId1"/>
  <drawing r:id="rId2"/>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A59A-2ED6-47BC-B89F-F0EEB35276CC}">
  <sheetPr codeName="Sheet719"/>
  <dimension ref="A1:E4"/>
  <sheetViews>
    <sheetView workbookViewId="0">
      <selection activeCell="A2" sqref="A2"/>
    </sheetView>
  </sheetViews>
  <sheetFormatPr defaultRowHeight="14.4"/>
  <sheetData>
    <row r="1" spans="1:5">
      <c r="B1" s="369" t="s">
        <v>5222</v>
      </c>
      <c r="C1" s="369"/>
      <c r="D1" s="369"/>
      <c r="E1" s="369"/>
    </row>
    <row r="2" spans="1:5">
      <c r="A2" s="1" t="s">
        <v>3486</v>
      </c>
      <c r="B2" s="1" t="s">
        <v>307</v>
      </c>
      <c r="C2" s="1" t="s">
        <v>308</v>
      </c>
      <c r="D2" s="1" t="s">
        <v>309</v>
      </c>
      <c r="E2" s="1" t="s">
        <v>310</v>
      </c>
    </row>
    <row r="3" spans="1:5">
      <c r="A3" s="2" t="s">
        <v>340</v>
      </c>
      <c r="B3" s="2">
        <v>2384</v>
      </c>
      <c r="C3" s="2">
        <v>4221</v>
      </c>
      <c r="D3" s="2">
        <v>3416</v>
      </c>
      <c r="E3" s="2">
        <v>5846</v>
      </c>
    </row>
    <row r="4" spans="1:5">
      <c r="A4" s="2" t="s">
        <v>3488</v>
      </c>
      <c r="B4" s="2">
        <v>1479</v>
      </c>
      <c r="C4" s="2">
        <v>2807</v>
      </c>
      <c r="D4" s="2">
        <v>1900</v>
      </c>
      <c r="E4" s="2">
        <v>6945</v>
      </c>
    </row>
  </sheetData>
  <mergeCells count="1">
    <mergeCell ref="B1:E1"/>
  </mergeCells>
  <pageMargins left="0.7" right="0.7" top="0.75" bottom="0.75" header="0.3" footer="0.3"/>
  <drawing r:id="rId1"/>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09AD-B4B1-470D-A8BD-7C00B3E64D4D}">
  <sheetPr codeName="Sheet720"/>
  <dimension ref="A1:D13"/>
  <sheetViews>
    <sheetView workbookViewId="0">
      <selection activeCell="A2" sqref="A2"/>
    </sheetView>
  </sheetViews>
  <sheetFormatPr defaultRowHeight="14.4"/>
  <cols>
    <col min="1" max="1" width="11.109375" bestFit="1" customWidth="1"/>
    <col min="2" max="2" width="11.109375" customWidth="1"/>
  </cols>
  <sheetData>
    <row r="1" spans="1:4">
      <c r="C1" s="400" t="s">
        <v>1457</v>
      </c>
      <c r="D1" s="368"/>
    </row>
    <row r="2" spans="1:4">
      <c r="A2" s="1" t="s">
        <v>130</v>
      </c>
      <c r="B2" s="1" t="s">
        <v>32</v>
      </c>
      <c r="C2" s="1" t="s">
        <v>1893</v>
      </c>
      <c r="D2" s="1" t="s">
        <v>496</v>
      </c>
    </row>
    <row r="3" spans="1:4">
      <c r="A3" s="2" t="s">
        <v>75</v>
      </c>
      <c r="B3" s="2" t="s">
        <v>307</v>
      </c>
      <c r="C3" s="2">
        <v>450</v>
      </c>
      <c r="D3" s="2">
        <v>500</v>
      </c>
    </row>
    <row r="4" spans="1:4">
      <c r="A4" s="2"/>
      <c r="B4" s="2" t="s">
        <v>308</v>
      </c>
      <c r="C4" s="2">
        <v>600</v>
      </c>
      <c r="D4" s="2">
        <v>500</v>
      </c>
    </row>
    <row r="5" spans="1:4">
      <c r="A5" s="2"/>
      <c r="B5" s="2" t="s">
        <v>309</v>
      </c>
      <c r="C5" s="2">
        <v>500</v>
      </c>
      <c r="D5" s="2">
        <v>500</v>
      </c>
    </row>
    <row r="6" spans="1:4">
      <c r="A6" s="2"/>
      <c r="B6" s="2"/>
      <c r="C6" s="2"/>
      <c r="D6" s="2"/>
    </row>
    <row r="7" spans="1:4">
      <c r="A7" s="2" t="s">
        <v>3472</v>
      </c>
      <c r="B7" s="2" t="s">
        <v>307</v>
      </c>
      <c r="C7" s="2">
        <v>180</v>
      </c>
      <c r="D7" s="2">
        <v>200</v>
      </c>
    </row>
    <row r="8" spans="1:4">
      <c r="A8" s="2"/>
      <c r="B8" s="2" t="s">
        <v>308</v>
      </c>
      <c r="C8" s="2">
        <v>200</v>
      </c>
      <c r="D8" s="2">
        <v>200</v>
      </c>
    </row>
    <row r="9" spans="1:4">
      <c r="A9" s="2"/>
      <c r="B9" s="2" t="s">
        <v>309</v>
      </c>
      <c r="C9" s="2">
        <v>150</v>
      </c>
      <c r="D9" s="2">
        <v>200</v>
      </c>
    </row>
    <row r="10" spans="1:4">
      <c r="A10" s="2"/>
      <c r="B10" s="2"/>
      <c r="C10" s="2"/>
      <c r="D10" s="2"/>
    </row>
    <row r="11" spans="1:4">
      <c r="A11" s="2" t="s">
        <v>1844</v>
      </c>
      <c r="B11" s="2" t="s">
        <v>307</v>
      </c>
      <c r="C11" s="2">
        <v>150</v>
      </c>
      <c r="D11" s="2">
        <v>150</v>
      </c>
    </row>
    <row r="12" spans="1:4">
      <c r="A12" s="2"/>
      <c r="B12" s="2" t="s">
        <v>308</v>
      </c>
      <c r="C12" s="2">
        <v>200</v>
      </c>
      <c r="D12" s="2">
        <v>150</v>
      </c>
    </row>
    <row r="13" spans="1:4">
      <c r="A13" s="2"/>
      <c r="B13" s="2" t="s">
        <v>309</v>
      </c>
      <c r="C13" s="2">
        <v>90</v>
      </c>
      <c r="D13" s="2">
        <v>150</v>
      </c>
    </row>
  </sheetData>
  <mergeCells count="1">
    <mergeCell ref="C1:D1"/>
  </mergeCells>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2ADA-3EE4-450F-8C48-45FADE609F55}">
  <sheetPr codeName="Sheet721"/>
  <dimension ref="A1:C6"/>
  <sheetViews>
    <sheetView workbookViewId="0">
      <selection activeCell="A2" sqref="A2"/>
    </sheetView>
  </sheetViews>
  <sheetFormatPr defaultRowHeight="14.4"/>
  <cols>
    <col min="1" max="2" width="8.6640625" customWidth="1"/>
    <col min="3" max="3" width="15.109375" bestFit="1" customWidth="1"/>
  </cols>
  <sheetData>
    <row r="1" spans="1:3">
      <c r="A1" s="1" t="s">
        <v>33</v>
      </c>
      <c r="B1" s="1" t="s">
        <v>319</v>
      </c>
      <c r="C1" s="1" t="s">
        <v>5364</v>
      </c>
    </row>
    <row r="2" spans="1:3">
      <c r="A2" s="2">
        <v>2018</v>
      </c>
      <c r="B2" s="338">
        <v>14485</v>
      </c>
      <c r="C2" s="15">
        <v>3.9199999999999999E-2</v>
      </c>
    </row>
    <row r="3" spans="1:3">
      <c r="A3" s="2">
        <v>2019</v>
      </c>
      <c r="B3" s="338">
        <v>15272</v>
      </c>
      <c r="C3" s="15">
        <v>4.2099999999999999E-2</v>
      </c>
    </row>
    <row r="4" spans="1:3">
      <c r="A4" s="2">
        <v>2020</v>
      </c>
      <c r="B4" s="338">
        <v>12398</v>
      </c>
      <c r="C4" s="15">
        <v>2.5399999999999999E-2</v>
      </c>
    </row>
    <row r="5" spans="1:3">
      <c r="A5" s="2">
        <v>2021</v>
      </c>
      <c r="B5" s="338">
        <v>16630</v>
      </c>
      <c r="C5" s="15">
        <v>5.91E-2</v>
      </c>
    </row>
    <row r="6" spans="1:3">
      <c r="A6" s="2">
        <v>2022</v>
      </c>
      <c r="B6" s="338">
        <v>15389</v>
      </c>
      <c r="C6" s="15">
        <v>3.1600000000000003E-2</v>
      </c>
    </row>
  </sheetData>
  <pageMargins left="0.7" right="0.7" top="0.75" bottom="0.75" header="0.3" footer="0.3"/>
  <pageSetup orientation="portrait" horizontalDpi="4294967293" verticalDpi="0" r:id="rId1"/>
  <drawing r:id="rId2"/>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946A-A8AA-4D2F-A8EC-AF9BBFD937BC}">
  <sheetPr codeName="Sheet722"/>
  <dimension ref="A1:C7"/>
  <sheetViews>
    <sheetView workbookViewId="0">
      <selection activeCell="A2" sqref="A2"/>
    </sheetView>
  </sheetViews>
  <sheetFormatPr defaultRowHeight="14.4"/>
  <cols>
    <col min="2" max="2" width="15.33203125" bestFit="1" customWidth="1"/>
    <col min="3" max="3" width="15.109375" bestFit="1" customWidth="1"/>
  </cols>
  <sheetData>
    <row r="1" spans="1:3">
      <c r="A1" s="1" t="s">
        <v>32</v>
      </c>
      <c r="B1" s="1" t="s">
        <v>4409</v>
      </c>
      <c r="C1" s="1" t="s">
        <v>59</v>
      </c>
    </row>
    <row r="2" spans="1:3">
      <c r="A2" s="2" t="s">
        <v>307</v>
      </c>
      <c r="B2" s="338">
        <v>4485</v>
      </c>
      <c r="C2" s="338">
        <v>1400</v>
      </c>
    </row>
    <row r="3" spans="1:3">
      <c r="A3" s="2" t="s">
        <v>308</v>
      </c>
      <c r="B3" s="338">
        <v>5272</v>
      </c>
      <c r="C3" s="338">
        <v>1350</v>
      </c>
    </row>
    <row r="4" spans="1:3">
      <c r="A4" s="2" t="s">
        <v>309</v>
      </c>
      <c r="B4" s="338">
        <v>2398</v>
      </c>
      <c r="C4" s="338">
        <v>1300</v>
      </c>
    </row>
    <row r="5" spans="1:3">
      <c r="A5" s="2" t="s">
        <v>310</v>
      </c>
      <c r="B5" s="338">
        <v>6630</v>
      </c>
      <c r="C5" s="338">
        <v>2000</v>
      </c>
    </row>
    <row r="6" spans="1:3">
      <c r="A6" s="2" t="s">
        <v>51</v>
      </c>
      <c r="B6" s="338">
        <v>5389</v>
      </c>
      <c r="C6" s="338">
        <v>1000</v>
      </c>
    </row>
    <row r="7" spans="1:3">
      <c r="A7" s="2" t="s">
        <v>311</v>
      </c>
      <c r="B7" s="338">
        <v>4550</v>
      </c>
      <c r="C7" s="338">
        <v>1200</v>
      </c>
    </row>
  </sheetData>
  <pageMargins left="0.7" right="0.7" top="0.75" bottom="0.75" header="0.3" footer="0.3"/>
  <drawing r:id="rId1"/>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6EDF-4C69-478F-9BC6-EAD3CBBCA459}">
  <sheetPr codeName="Sheet723"/>
  <dimension ref="C2:G6"/>
  <sheetViews>
    <sheetView workbookViewId="0">
      <selection activeCell="C2" sqref="C2"/>
    </sheetView>
  </sheetViews>
  <sheetFormatPr defaultRowHeight="14.4"/>
  <cols>
    <col min="5" max="5" width="16.109375" bestFit="1" customWidth="1"/>
    <col min="7" max="7" width="10" bestFit="1" customWidth="1"/>
  </cols>
  <sheetData>
    <row r="2" spans="3:7">
      <c r="C2" s="1" t="s">
        <v>3150</v>
      </c>
      <c r="D2" s="1" t="s">
        <v>3470</v>
      </c>
      <c r="E2" s="1" t="s">
        <v>5365</v>
      </c>
      <c r="F2" s="1" t="s">
        <v>3187</v>
      </c>
      <c r="G2" s="1" t="s">
        <v>5366</v>
      </c>
    </row>
    <row r="3" spans="3:7">
      <c r="C3" s="2" t="s">
        <v>3151</v>
      </c>
      <c r="D3" s="2">
        <v>50</v>
      </c>
      <c r="E3" s="82">
        <v>0.15</v>
      </c>
      <c r="F3" s="61">
        <f>D3*1.15</f>
        <v>57.499999999999993</v>
      </c>
      <c r="G3" s="2" t="str">
        <f>D3&amp;CHAR(10)&amp;" ("&amp;TEXT(E3,"0%")&amp;")"</f>
        <v>50
 (15%)</v>
      </c>
    </row>
    <row r="4" spans="3:7">
      <c r="C4" s="2" t="s">
        <v>3153</v>
      </c>
      <c r="D4" s="2">
        <v>100</v>
      </c>
      <c r="E4" s="82">
        <v>0.45</v>
      </c>
      <c r="F4" s="2">
        <f t="shared" ref="F4:F6" si="0">D4*1.15</f>
        <v>114.99999999999999</v>
      </c>
      <c r="G4" s="2" t="str">
        <f t="shared" ref="G4:G6" si="1">D4&amp;CHAR(10)&amp;" ("&amp;TEXT(E4,"0%")&amp;")"</f>
        <v>100
 (45%)</v>
      </c>
    </row>
    <row r="5" spans="3:7">
      <c r="C5" s="2" t="s">
        <v>3152</v>
      </c>
      <c r="D5" s="2">
        <v>35</v>
      </c>
      <c r="E5" s="82">
        <v>0.1</v>
      </c>
      <c r="F5" s="2">
        <f t="shared" si="0"/>
        <v>40.25</v>
      </c>
      <c r="G5" s="2" t="str">
        <f t="shared" si="1"/>
        <v>35
 (10%)</v>
      </c>
    </row>
    <row r="6" spans="3:7">
      <c r="C6" s="2" t="s">
        <v>3154</v>
      </c>
      <c r="D6" s="2">
        <v>70</v>
      </c>
      <c r="E6" s="82">
        <v>0.3</v>
      </c>
      <c r="F6" s="2">
        <f t="shared" si="0"/>
        <v>80.5</v>
      </c>
      <c r="G6" s="2" t="str">
        <f t="shared" si="1"/>
        <v>70
 (30%)</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0521-B83D-49A9-A93C-DE8B92FF6890}">
  <sheetPr codeName="Sheet724"/>
  <dimension ref="A1:C8"/>
  <sheetViews>
    <sheetView workbookViewId="0">
      <selection activeCell="B7" sqref="B7"/>
    </sheetView>
  </sheetViews>
  <sheetFormatPr defaultRowHeight="14.4"/>
  <cols>
    <col min="1" max="1" width="36.44140625" bestFit="1" customWidth="1"/>
    <col min="3" max="3" width="44.88671875" bestFit="1" customWidth="1"/>
  </cols>
  <sheetData>
    <row r="1" spans="1:3">
      <c r="A1" s="1" t="s">
        <v>622</v>
      </c>
      <c r="B1" s="1" t="s">
        <v>1727</v>
      </c>
    </row>
    <row r="2" spans="1:3">
      <c r="A2" s="2" t="s">
        <v>5367</v>
      </c>
      <c r="B2" s="2">
        <v>4</v>
      </c>
    </row>
    <row r="3" spans="1:3">
      <c r="A3" s="2" t="s">
        <v>5368</v>
      </c>
      <c r="B3" s="2">
        <v>2</v>
      </c>
    </row>
    <row r="4" spans="1:3">
      <c r="A4" s="2" t="s">
        <v>5369</v>
      </c>
      <c r="B4" s="2">
        <v>1</v>
      </c>
    </row>
    <row r="5" spans="1:3">
      <c r="A5" s="14"/>
      <c r="B5" s="14"/>
    </row>
    <row r="6" spans="1:3">
      <c r="C6" s="1" t="s">
        <v>1145</v>
      </c>
    </row>
    <row r="7" spans="1:3">
      <c r="A7" s="1" t="s">
        <v>5370</v>
      </c>
      <c r="B7" s="7">
        <f>_xlfn.LOGNORM.DIST(B2,B3,B4,TRUE)</f>
        <v>0.26970493073490942</v>
      </c>
      <c r="C7" s="55" t="s">
        <v>5372</v>
      </c>
    </row>
    <row r="8" spans="1:3">
      <c r="A8" s="1" t="s">
        <v>5371</v>
      </c>
      <c r="B8" s="7">
        <f>_xlfn.LOGNORM.DIST(B2,B3,B4,FALSE)</f>
        <v>8.2616141495870932E-2</v>
      </c>
      <c r="C8" s="55" t="s">
        <v>5373</v>
      </c>
    </row>
  </sheetData>
  <pageMargins left="0.7" right="0.7" top="0.75" bottom="0.75" header="0.3" footer="0.3"/>
  <pageSetup orientation="portrait" horizontalDpi="4294967293" verticalDpi="0" r:id="rId1"/>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2181-1A09-4349-A9E1-F47A757189D1}">
  <sheetPr codeName="Sheet725"/>
  <dimension ref="B2:C8"/>
  <sheetViews>
    <sheetView workbookViewId="0">
      <selection activeCell="B7" sqref="B7"/>
    </sheetView>
  </sheetViews>
  <sheetFormatPr defaultRowHeight="14.4"/>
  <cols>
    <col min="2" max="2" width="36.44140625" bestFit="1" customWidth="1"/>
  </cols>
  <sheetData>
    <row r="2" spans="2:3">
      <c r="B2" s="1" t="s">
        <v>622</v>
      </c>
      <c r="C2" s="1" t="s">
        <v>1727</v>
      </c>
    </row>
    <row r="3" spans="2:3">
      <c r="B3" s="2" t="s">
        <v>5367</v>
      </c>
      <c r="C3" s="2">
        <v>7</v>
      </c>
    </row>
    <row r="4" spans="2:3">
      <c r="B4" s="2" t="s">
        <v>5368</v>
      </c>
      <c r="C4" s="2">
        <v>6</v>
      </c>
    </row>
    <row r="5" spans="2:3">
      <c r="B5" s="2" t="s">
        <v>5369</v>
      </c>
      <c r="C5" s="2">
        <v>2.5</v>
      </c>
    </row>
    <row r="6" spans="2:3">
      <c r="B6" s="14"/>
      <c r="C6" s="14"/>
    </row>
    <row r="8" spans="2:3">
      <c r="B8" s="1" t="s">
        <v>5370</v>
      </c>
      <c r="C8" s="7">
        <f>_xlfn.LOGNORM.DIST(C3,C4,C5,TRUE)</f>
        <v>5.244066122710421E-2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42FB-44D6-45EB-90B3-B91B026C5358}">
  <sheetPr codeName="Sheet726"/>
  <dimension ref="C2:E8"/>
  <sheetViews>
    <sheetView workbookViewId="0">
      <selection activeCell="B7" sqref="B7"/>
    </sheetView>
  </sheetViews>
  <sheetFormatPr defaultRowHeight="14.4"/>
  <cols>
    <col min="3" max="3" width="36.44140625" bestFit="1" customWidth="1"/>
    <col min="4" max="4" width="12.5546875" customWidth="1"/>
  </cols>
  <sheetData>
    <row r="2" spans="3:5">
      <c r="C2" s="1" t="s">
        <v>622</v>
      </c>
      <c r="D2" s="1" t="s">
        <v>2887</v>
      </c>
      <c r="E2" s="1" t="s">
        <v>1727</v>
      </c>
    </row>
    <row r="3" spans="3:5">
      <c r="C3" s="2" t="s">
        <v>5367</v>
      </c>
      <c r="D3" s="2" t="s">
        <v>3216</v>
      </c>
      <c r="E3" s="2">
        <v>9</v>
      </c>
    </row>
    <row r="4" spans="3:5">
      <c r="C4" s="2" t="s">
        <v>5368</v>
      </c>
      <c r="D4" s="2" t="s">
        <v>3793</v>
      </c>
      <c r="E4" s="2">
        <v>7.5</v>
      </c>
    </row>
    <row r="5" spans="3:5">
      <c r="C5" s="2" t="s">
        <v>5369</v>
      </c>
      <c r="D5" s="2" t="s">
        <v>3794</v>
      </c>
      <c r="E5" s="2">
        <v>3</v>
      </c>
    </row>
    <row r="6" spans="3:5">
      <c r="C6" s="2" t="s">
        <v>5374</v>
      </c>
      <c r="D6" s="2" t="s">
        <v>3795</v>
      </c>
      <c r="E6" s="2" t="b">
        <v>0</v>
      </c>
    </row>
    <row r="8" spans="3:5">
      <c r="C8" s="371" t="s">
        <v>5371</v>
      </c>
      <c r="D8" s="373"/>
      <c r="E8" s="7">
        <f>_xlfn.LOGNORM.DIST(E3,E4,E5,E6)</f>
        <v>3.0981014261881926E-3</v>
      </c>
    </row>
  </sheetData>
  <mergeCells count="1">
    <mergeCell ref="C8:D8"/>
  </mergeCell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1FB0-B532-46CC-AC62-FA05EEE9B788}">
  <sheetPr codeName="Sheet727"/>
  <dimension ref="D1:E8"/>
  <sheetViews>
    <sheetView workbookViewId="0">
      <selection activeCell="B7" sqref="B7"/>
    </sheetView>
  </sheetViews>
  <sheetFormatPr defaultRowHeight="14.4"/>
  <cols>
    <col min="4" max="4" width="52.33203125" bestFit="1" customWidth="1"/>
    <col min="5" max="5" width="8.6640625" customWidth="1"/>
  </cols>
  <sheetData>
    <row r="1" spans="4:5">
      <c r="D1" s="400" t="s">
        <v>5375</v>
      </c>
      <c r="E1" s="368"/>
    </row>
    <row r="2" spans="4:5">
      <c r="D2" s="1" t="s">
        <v>622</v>
      </c>
      <c r="E2" s="1" t="s">
        <v>1727</v>
      </c>
    </row>
    <row r="3" spans="4:5">
      <c r="D3" s="2" t="s">
        <v>5367</v>
      </c>
      <c r="E3" s="2">
        <v>900</v>
      </c>
    </row>
    <row r="4" spans="4:5">
      <c r="D4" s="2" t="s">
        <v>5368</v>
      </c>
      <c r="E4" s="2">
        <v>10</v>
      </c>
    </row>
    <row r="5" spans="4:5">
      <c r="D5" s="2" t="s">
        <v>5369</v>
      </c>
      <c r="E5" s="2">
        <v>1.55</v>
      </c>
    </row>
    <row r="7" spans="4:5">
      <c r="D7" s="1" t="s">
        <v>5376</v>
      </c>
      <c r="E7" s="7">
        <f>_xlfn.LOGNORM.DIST(E3,E4,E5,TRUE)</f>
        <v>1.9557686050336129E-2</v>
      </c>
    </row>
    <row r="8" spans="4:5">
      <c r="D8" s="1" t="s">
        <v>5377</v>
      </c>
      <c r="E8" s="7">
        <f>_xlfn.NORM.S.DIST((LN(E3)-E4)/E5,TRUE)</f>
        <v>1.9557686050336129E-2</v>
      </c>
    </row>
  </sheetData>
  <mergeCells count="1">
    <mergeCell ref="D1:E1"/>
  </mergeCell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828E-234A-4825-A4C2-FB0110315F12}">
  <sheetPr codeName="Sheet728"/>
  <dimension ref="B1:F15"/>
  <sheetViews>
    <sheetView workbookViewId="0">
      <selection activeCell="B7" sqref="B7"/>
    </sheetView>
  </sheetViews>
  <sheetFormatPr defaultRowHeight="14.4"/>
  <cols>
    <col min="2" max="2" width="17.109375" bestFit="1" customWidth="1"/>
    <col min="3" max="3" width="17.109375" customWidth="1"/>
    <col min="6" max="6" width="30.109375" bestFit="1" customWidth="1"/>
  </cols>
  <sheetData>
    <row r="1" spans="2:6">
      <c r="B1" s="1" t="s">
        <v>3216</v>
      </c>
      <c r="C1" s="1" t="s">
        <v>5378</v>
      </c>
      <c r="E1" s="1" t="s">
        <v>3216</v>
      </c>
      <c r="F1" s="1" t="s">
        <v>5371</v>
      </c>
    </row>
    <row r="2" spans="2:6">
      <c r="B2" s="2">
        <v>0.02</v>
      </c>
      <c r="C2" s="2">
        <f>LN(B2)</f>
        <v>-3.912023005428146</v>
      </c>
      <c r="E2" s="2">
        <v>0.02</v>
      </c>
      <c r="F2" s="7">
        <f>_xlfn.LOGNORM.DIST(E2,$C$14,$C$15,FALSE)</f>
        <v>0.18923608757874644</v>
      </c>
    </row>
    <row r="3" spans="2:6">
      <c r="B3" s="2">
        <v>2</v>
      </c>
      <c r="C3" s="2">
        <f t="shared" ref="C3:C11" si="0">LN(B3)</f>
        <v>0.69314718055994529</v>
      </c>
      <c r="E3" s="2">
        <v>2</v>
      </c>
      <c r="F3" s="7">
        <f t="shared" ref="F3:F12" si="1">_xlfn.LOGNORM.DIST(E3,$C$14,$C$15,FALSE)</f>
        <v>9.0016360958466032E-2</v>
      </c>
    </row>
    <row r="4" spans="2:6">
      <c r="B4" s="2">
        <v>4</v>
      </c>
      <c r="C4" s="2">
        <f t="shared" si="0"/>
        <v>1.3862943611198906</v>
      </c>
      <c r="E4" s="2">
        <v>4</v>
      </c>
      <c r="F4" s="7">
        <f t="shared" si="1"/>
        <v>5.0166204793261539E-2</v>
      </c>
    </row>
    <row r="5" spans="2:6">
      <c r="B5" s="2">
        <v>6</v>
      </c>
      <c r="C5" s="2">
        <f t="shared" si="0"/>
        <v>1.791759469228055</v>
      </c>
      <c r="E5" s="2">
        <v>6</v>
      </c>
      <c r="F5" s="7">
        <f t="shared" si="1"/>
        <v>3.3649364300361702E-2</v>
      </c>
    </row>
    <row r="6" spans="2:6">
      <c r="B6" s="2">
        <v>8</v>
      </c>
      <c r="C6" s="2">
        <f t="shared" si="0"/>
        <v>2.0794415416798357</v>
      </c>
      <c r="E6" s="2">
        <v>8</v>
      </c>
      <c r="F6" s="7">
        <f t="shared" si="1"/>
        <v>2.4704371040077503E-2</v>
      </c>
    </row>
    <row r="7" spans="2:6">
      <c r="B7" s="2">
        <v>10</v>
      </c>
      <c r="C7" s="2">
        <f t="shared" si="0"/>
        <v>2.3025850929940459</v>
      </c>
      <c r="E7" s="2">
        <v>10</v>
      </c>
      <c r="F7" s="7">
        <f t="shared" si="1"/>
        <v>1.9155982297526294E-2</v>
      </c>
    </row>
    <row r="8" spans="2:6">
      <c r="B8" s="2">
        <v>12</v>
      </c>
      <c r="C8" s="2">
        <f t="shared" si="0"/>
        <v>2.4849066497880004</v>
      </c>
      <c r="E8" s="2">
        <v>12</v>
      </c>
      <c r="F8" s="7">
        <f t="shared" si="1"/>
        <v>1.541384537559504E-2</v>
      </c>
    </row>
    <row r="9" spans="2:6">
      <c r="B9" s="2">
        <v>14</v>
      </c>
      <c r="C9" s="2">
        <f t="shared" si="0"/>
        <v>2.6390573296152584</v>
      </c>
      <c r="E9" s="2">
        <v>14</v>
      </c>
      <c r="F9" s="7">
        <f t="shared" si="1"/>
        <v>1.2740967920583613E-2</v>
      </c>
    </row>
    <row r="10" spans="2:6">
      <c r="B10" s="2">
        <v>16</v>
      </c>
      <c r="C10" s="2">
        <f t="shared" si="0"/>
        <v>2.7725887222397811</v>
      </c>
      <c r="E10" s="2">
        <v>16</v>
      </c>
      <c r="F10" s="7">
        <f t="shared" si="1"/>
        <v>1.0750016136320848E-2</v>
      </c>
    </row>
    <row r="11" spans="2:6">
      <c r="B11" s="2">
        <v>18</v>
      </c>
      <c r="C11" s="2">
        <f t="shared" si="0"/>
        <v>2.8903717578961645</v>
      </c>
      <c r="E11" s="2">
        <v>18</v>
      </c>
      <c r="F11" s="7">
        <f t="shared" si="1"/>
        <v>9.2185740172175661E-3</v>
      </c>
    </row>
    <row r="12" spans="2:6">
      <c r="B12" s="2">
        <v>20</v>
      </c>
      <c r="C12" s="2">
        <f>LN(B12)</f>
        <v>2.9957322735539909</v>
      </c>
      <c r="E12" s="2">
        <v>20</v>
      </c>
      <c r="F12" s="7">
        <f t="shared" si="1"/>
        <v>8.0102013635917502E-3</v>
      </c>
    </row>
    <row r="14" spans="2:6">
      <c r="B14" s="1" t="s">
        <v>3817</v>
      </c>
      <c r="C14" s="7">
        <f>SUM(C2:C12)/11</f>
        <v>1.6476237612042566</v>
      </c>
    </row>
    <row r="15" spans="2:6">
      <c r="B15" s="1" t="s">
        <v>3816</v>
      </c>
      <c r="C15" s="7">
        <f>_xlfn.STDEV.S(C2:C12)</f>
        <v>1.9706992483905763</v>
      </c>
    </row>
  </sheetData>
  <pageMargins left="0.7" right="0.7" top="0.75" bottom="0.75" header="0.3" footer="0.3"/>
  <drawing r:id="rId1"/>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1DCF-475F-4955-9182-0D1BBF4960CF}">
  <sheetPr codeName="Sheet729"/>
  <dimension ref="A1:B8"/>
  <sheetViews>
    <sheetView workbookViewId="0">
      <selection activeCell="B1" sqref="B1"/>
    </sheetView>
  </sheetViews>
  <sheetFormatPr defaultRowHeight="14.4"/>
  <cols>
    <col min="1" max="1" width="36.44140625" bestFit="1" customWidth="1"/>
  </cols>
  <sheetData>
    <row r="1" spans="1:2">
      <c r="A1" s="1" t="s">
        <v>622</v>
      </c>
      <c r="B1" s="1" t="s">
        <v>1727</v>
      </c>
    </row>
    <row r="2" spans="1:2">
      <c r="A2" s="2" t="s">
        <v>5367</v>
      </c>
      <c r="B2" s="2">
        <v>5.48</v>
      </c>
    </row>
    <row r="3" spans="1:2">
      <c r="A3" s="2" t="s">
        <v>5368</v>
      </c>
      <c r="B3" s="2">
        <v>2.33</v>
      </c>
    </row>
    <row r="4" spans="1:2">
      <c r="A4" s="2" t="s">
        <v>5369</v>
      </c>
      <c r="B4" s="2">
        <v>1.96</v>
      </c>
    </row>
    <row r="5" spans="1:2">
      <c r="A5" s="14"/>
      <c r="B5" s="14"/>
    </row>
    <row r="7" spans="1:2">
      <c r="A7" s="1" t="s">
        <v>5370</v>
      </c>
      <c r="B7" s="7">
        <v>0.37415644613451671</v>
      </c>
    </row>
    <row r="8" spans="1:2">
      <c r="A8" s="1" t="s">
        <v>5371</v>
      </c>
      <c r="B8" s="7">
        <v>3.5279077381303571E-2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3C95-68F5-466C-9A80-B709A6C06CD1}">
  <dimension ref="A1:N10"/>
  <sheetViews>
    <sheetView showGridLines="0" workbookViewId="0">
      <selection activeCell="D6" sqref="D6"/>
    </sheetView>
  </sheetViews>
  <sheetFormatPr defaultRowHeight="14.4"/>
  <cols>
    <col min="1" max="1" width="11.5546875" bestFit="1" customWidth="1"/>
    <col min="2" max="2" width="8.6640625"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5379</v>
      </c>
      <c r="B4" s="469"/>
      <c r="C4" s="469"/>
      <c r="D4" s="469"/>
    </row>
    <row r="5" spans="1:14" ht="43.2">
      <c r="A5" s="1" t="s">
        <v>97</v>
      </c>
      <c r="B5" s="8" t="s">
        <v>469</v>
      </c>
      <c r="C5" s="8" t="s">
        <v>5380</v>
      </c>
      <c r="D5" s="8" t="s">
        <v>5381</v>
      </c>
      <c r="E5" s="469" t="s">
        <v>5384</v>
      </c>
      <c r="F5" s="469"/>
      <c r="G5" s="469"/>
      <c r="H5" s="469"/>
      <c r="I5" s="469"/>
      <c r="N5" s="131"/>
    </row>
    <row r="6" spans="1:14" ht="30" customHeight="1">
      <c r="A6" s="45" t="s">
        <v>394</v>
      </c>
      <c r="B6" s="45">
        <v>28</v>
      </c>
      <c r="C6" s="47">
        <f>_xlfn.FLOOR.MATH(B6,5)</f>
        <v>25</v>
      </c>
      <c r="D6" s="47">
        <f>MOD(B6,5)</f>
        <v>3</v>
      </c>
    </row>
    <row r="7" spans="1:14" ht="30" customHeight="1">
      <c r="A7" s="45" t="s">
        <v>395</v>
      </c>
      <c r="B7" s="45">
        <v>30</v>
      </c>
      <c r="C7" s="47">
        <f t="shared" ref="C7:C10" si="0">_xlfn.FLOOR.MATH(B7,5)</f>
        <v>30</v>
      </c>
      <c r="D7" s="47">
        <f t="shared" ref="D7:D10" si="1">MOD(B7,5)</f>
        <v>0</v>
      </c>
    </row>
    <row r="8" spans="1:14" ht="30" customHeight="1">
      <c r="A8" s="45" t="s">
        <v>396</v>
      </c>
      <c r="B8" s="45">
        <v>33</v>
      </c>
      <c r="C8" s="47">
        <f t="shared" si="0"/>
        <v>30</v>
      </c>
      <c r="D8" s="47">
        <f t="shared" si="1"/>
        <v>3</v>
      </c>
    </row>
    <row r="9" spans="1:14" ht="30" customHeight="1">
      <c r="A9" s="45" t="s">
        <v>397</v>
      </c>
      <c r="B9" s="45">
        <v>22</v>
      </c>
      <c r="C9" s="47">
        <f t="shared" si="0"/>
        <v>20</v>
      </c>
      <c r="D9" s="47">
        <f t="shared" si="1"/>
        <v>2</v>
      </c>
    </row>
    <row r="10" spans="1:14" ht="30" customHeight="1">
      <c r="A10" s="45" t="s">
        <v>101</v>
      </c>
      <c r="B10" s="45">
        <v>39</v>
      </c>
      <c r="C10" s="47">
        <f t="shared" si="0"/>
        <v>35</v>
      </c>
      <c r="D10" s="47">
        <f t="shared" si="1"/>
        <v>4</v>
      </c>
    </row>
  </sheetData>
  <mergeCells count="2">
    <mergeCell ref="A4:D4"/>
    <mergeCell ref="E5:I5"/>
  </mergeCells>
  <pageMargins left="0.7" right="0.7" top="0.75" bottom="0.75" header="0.3" footer="0.3"/>
  <pageSetup orientation="portrait" horizontalDpi="4294967293" verticalDpi="0" r:id="rId1"/>
  <drawing r:id="rId2"/>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A61F-CE4A-4BE8-960E-0D2F182B9B7B}">
  <dimension ref="A1:N9"/>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5391</v>
      </c>
      <c r="B4" s="469"/>
      <c r="C4" s="469"/>
      <c r="D4" s="469"/>
    </row>
    <row r="5" spans="1:14" ht="43.2">
      <c r="A5" s="1" t="s">
        <v>155</v>
      </c>
      <c r="B5" s="8" t="s">
        <v>469</v>
      </c>
      <c r="C5" s="8" t="s">
        <v>5380</v>
      </c>
      <c r="D5" s="8" t="s">
        <v>5381</v>
      </c>
      <c r="E5" s="470" t="s">
        <v>5384</v>
      </c>
      <c r="F5" s="472"/>
      <c r="G5" s="472"/>
      <c r="H5" s="472"/>
      <c r="I5" s="472"/>
      <c r="J5" s="472"/>
      <c r="K5" s="471"/>
      <c r="N5" s="131"/>
    </row>
    <row r="6" spans="1:14" ht="30" customHeight="1">
      <c r="A6" s="45" t="s">
        <v>5387</v>
      </c>
      <c r="B6" s="45">
        <v>42</v>
      </c>
      <c r="C6" s="47">
        <f>_xlfn.FLOOR.MATH(B6,5)</f>
        <v>40</v>
      </c>
      <c r="D6" s="47">
        <f>MOD(B6,5)</f>
        <v>2</v>
      </c>
    </row>
    <row r="7" spans="1:14" ht="30" customHeight="1">
      <c r="A7" s="45" t="s">
        <v>5388</v>
      </c>
      <c r="B7" s="45">
        <v>48</v>
      </c>
      <c r="C7" s="47">
        <f t="shared" ref="C7:C9" si="0">_xlfn.FLOOR.MATH(B7,5)</f>
        <v>45</v>
      </c>
      <c r="D7" s="47">
        <f t="shared" ref="D7:D9" si="1">MOD(B7,5)</f>
        <v>3</v>
      </c>
    </row>
    <row r="8" spans="1:14" ht="30" customHeight="1">
      <c r="A8" s="45" t="s">
        <v>5389</v>
      </c>
      <c r="B8" s="45">
        <v>34</v>
      </c>
      <c r="C8" s="47">
        <f t="shared" si="0"/>
        <v>30</v>
      </c>
      <c r="D8" s="47">
        <f t="shared" si="1"/>
        <v>4</v>
      </c>
    </row>
    <row r="9" spans="1:14" ht="30" customHeight="1">
      <c r="A9" s="45" t="s">
        <v>5390</v>
      </c>
      <c r="B9" s="45">
        <v>57</v>
      </c>
      <c r="C9" s="47">
        <f t="shared" si="0"/>
        <v>55</v>
      </c>
      <c r="D9" s="47">
        <f t="shared" si="1"/>
        <v>2</v>
      </c>
    </row>
  </sheetData>
  <mergeCells count="2">
    <mergeCell ref="A4:D4"/>
    <mergeCell ref="E5:K5"/>
  </mergeCells>
  <pageMargins left="0.7" right="0.7" top="0.75" bottom="0.75" header="0.3" footer="0.3"/>
  <drawing r:id="rId1"/>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6DE1-C6FA-41C9-9C32-EDB7C9F3BCE6}">
  <dimension ref="A1:N9"/>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5392</v>
      </c>
      <c r="B4" s="469"/>
      <c r="C4" s="469"/>
      <c r="D4" s="469"/>
    </row>
    <row r="5" spans="1:14" ht="43.2">
      <c r="A5" s="1" t="s">
        <v>5393</v>
      </c>
      <c r="B5" s="8" t="s">
        <v>469</v>
      </c>
      <c r="C5" s="8" t="s">
        <v>5380</v>
      </c>
      <c r="D5" s="8" t="s">
        <v>5381</v>
      </c>
      <c r="E5" s="469" t="s">
        <v>5384</v>
      </c>
      <c r="F5" s="469"/>
      <c r="G5" s="469"/>
      <c r="H5" s="469"/>
      <c r="I5" s="469"/>
      <c r="N5" s="131"/>
    </row>
    <row r="6" spans="1:14" ht="30" customHeight="1">
      <c r="A6" s="45" t="s">
        <v>5093</v>
      </c>
      <c r="B6" s="45">
        <v>58</v>
      </c>
      <c r="C6" s="47">
        <f>_xlfn.FLOOR.MATH(B6,5)</f>
        <v>55</v>
      </c>
      <c r="D6" s="47">
        <f>MOD(B6,5)</f>
        <v>3</v>
      </c>
    </row>
    <row r="7" spans="1:14" ht="30" customHeight="1">
      <c r="A7" s="45" t="s">
        <v>741</v>
      </c>
      <c r="B7" s="45">
        <v>39</v>
      </c>
      <c r="C7" s="47">
        <f t="shared" ref="C7:C9" si="0">_xlfn.FLOOR.MATH(B7,5)</f>
        <v>35</v>
      </c>
      <c r="D7" s="47">
        <f t="shared" ref="D7:D9" si="1">MOD(B7,5)</f>
        <v>4</v>
      </c>
    </row>
    <row r="8" spans="1:14" ht="30" customHeight="1">
      <c r="A8" s="45" t="s">
        <v>743</v>
      </c>
      <c r="B8" s="45">
        <v>21</v>
      </c>
      <c r="C8" s="47">
        <f t="shared" si="0"/>
        <v>20</v>
      </c>
      <c r="D8" s="47">
        <f t="shared" si="1"/>
        <v>1</v>
      </c>
    </row>
    <row r="9" spans="1:14" ht="30" customHeight="1">
      <c r="A9" s="45" t="s">
        <v>742</v>
      </c>
      <c r="B9" s="45">
        <v>15</v>
      </c>
      <c r="C9" s="47">
        <f t="shared" si="0"/>
        <v>15</v>
      </c>
      <c r="D9" s="47">
        <f t="shared" si="1"/>
        <v>0</v>
      </c>
    </row>
  </sheetData>
  <mergeCells count="2">
    <mergeCell ref="A4:D4"/>
    <mergeCell ref="E5:I5"/>
  </mergeCells>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F4F9-6FC4-4FFC-B2E0-4509CCB84145}">
  <dimension ref="A1:N9"/>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5394</v>
      </c>
      <c r="B4" s="469"/>
      <c r="C4" s="469"/>
      <c r="D4" s="469"/>
    </row>
    <row r="5" spans="1:14" ht="43.2">
      <c r="A5" s="1" t="s">
        <v>2296</v>
      </c>
      <c r="B5" s="8" t="s">
        <v>469</v>
      </c>
      <c r="C5" s="8" t="s">
        <v>5380</v>
      </c>
      <c r="D5" s="8" t="s">
        <v>5381</v>
      </c>
      <c r="E5" s="469" t="s">
        <v>5384</v>
      </c>
      <c r="F5" s="469"/>
      <c r="G5" s="469"/>
      <c r="H5" s="469"/>
      <c r="I5" s="469"/>
      <c r="J5" s="469"/>
      <c r="N5" s="131"/>
    </row>
    <row r="6" spans="1:14" ht="30" customHeight="1">
      <c r="A6" s="45" t="s">
        <v>5395</v>
      </c>
      <c r="B6" s="45">
        <v>13</v>
      </c>
      <c r="C6" s="47">
        <f>_xlfn.FLOOR.MATH(B6,5)</f>
        <v>10</v>
      </c>
      <c r="D6" s="47">
        <f>MOD(B6,5)</f>
        <v>3</v>
      </c>
    </row>
    <row r="7" spans="1:14" ht="30" customHeight="1">
      <c r="A7" s="45" t="s">
        <v>5396</v>
      </c>
      <c r="B7" s="45">
        <v>22</v>
      </c>
      <c r="C7" s="47">
        <f t="shared" ref="C7:C9" si="0">_xlfn.FLOOR.MATH(B7,5)</f>
        <v>20</v>
      </c>
      <c r="D7" s="47">
        <f t="shared" ref="D7:D9" si="1">MOD(B7,5)</f>
        <v>2</v>
      </c>
    </row>
    <row r="8" spans="1:14" ht="30" customHeight="1">
      <c r="A8" s="45" t="s">
        <v>5397</v>
      </c>
      <c r="B8" s="45">
        <v>9</v>
      </c>
      <c r="C8" s="47">
        <f t="shared" si="0"/>
        <v>5</v>
      </c>
      <c r="D8" s="47">
        <f t="shared" si="1"/>
        <v>4</v>
      </c>
    </row>
    <row r="9" spans="1:14" ht="30" customHeight="1">
      <c r="A9" s="45" t="s">
        <v>5398</v>
      </c>
      <c r="B9" s="45">
        <v>17</v>
      </c>
      <c r="C9" s="47">
        <f t="shared" si="0"/>
        <v>15</v>
      </c>
      <c r="D9" s="47">
        <f t="shared" si="1"/>
        <v>2</v>
      </c>
    </row>
  </sheetData>
  <mergeCells count="2">
    <mergeCell ref="A4:D4"/>
    <mergeCell ref="E5:J5"/>
  </mergeCells>
  <pageMargins left="0.7" right="0.7" top="0.75" bottom="0.75" header="0.3" footer="0.3"/>
  <drawing r:id="rId1"/>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C4C-9DEB-45E2-B4EB-AB3CF2319859}">
  <dimension ref="A1:N10"/>
  <sheetViews>
    <sheetView showGridLines="0" workbookViewId="0">
      <selection activeCell="D6" sqref="D6"/>
    </sheetView>
  </sheetViews>
  <sheetFormatPr defaultRowHeight="14.4"/>
  <cols>
    <col min="1" max="1" width="11.5546875" bestFit="1" customWidth="1"/>
    <col min="3" max="3" width="21.10937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5399</v>
      </c>
      <c r="B4" s="469"/>
      <c r="C4" s="469"/>
      <c r="D4" s="469"/>
    </row>
    <row r="5" spans="1:14" ht="43.2">
      <c r="A5" s="1" t="s">
        <v>5048</v>
      </c>
      <c r="B5" s="8" t="s">
        <v>469</v>
      </c>
      <c r="C5" s="8" t="s">
        <v>5380</v>
      </c>
      <c r="D5" s="8" t="s">
        <v>5381</v>
      </c>
      <c r="E5" s="469" t="s">
        <v>5384</v>
      </c>
      <c r="F5" s="469"/>
      <c r="G5" s="469"/>
      <c r="H5" s="469"/>
      <c r="I5" s="469"/>
      <c r="J5" s="469"/>
      <c r="K5" s="469"/>
      <c r="N5" s="131"/>
    </row>
    <row r="6" spans="1:14" ht="30" customHeight="1">
      <c r="A6" s="45" t="s">
        <v>5049</v>
      </c>
      <c r="B6" s="45">
        <v>32</v>
      </c>
      <c r="C6" s="47">
        <f>_xlfn.FLOOR.MATH(B6,5)</f>
        <v>30</v>
      </c>
      <c r="D6" s="47">
        <f>MOD(B6,5)</f>
        <v>2</v>
      </c>
    </row>
    <row r="7" spans="1:14" ht="30" customHeight="1">
      <c r="A7" s="45" t="s">
        <v>5050</v>
      </c>
      <c r="B7" s="45">
        <v>49</v>
      </c>
      <c r="C7" s="47">
        <f t="shared" ref="C7:C9" si="0">_xlfn.FLOOR.MATH(B7,5)</f>
        <v>45</v>
      </c>
      <c r="D7" s="47">
        <f t="shared" ref="D7:D9" si="1">MOD(B7,5)</f>
        <v>4</v>
      </c>
    </row>
    <row r="8" spans="1:14" ht="30" customHeight="1">
      <c r="A8" s="45" t="s">
        <v>5051</v>
      </c>
      <c r="B8" s="45">
        <v>60</v>
      </c>
      <c r="C8" s="47">
        <f t="shared" si="0"/>
        <v>60</v>
      </c>
      <c r="D8" s="47">
        <f t="shared" si="1"/>
        <v>0</v>
      </c>
    </row>
    <row r="9" spans="1:14" ht="30" customHeight="1">
      <c r="A9" s="45" t="s">
        <v>5052</v>
      </c>
      <c r="B9" s="45">
        <v>51</v>
      </c>
      <c r="C9" s="47">
        <f t="shared" si="0"/>
        <v>50</v>
      </c>
      <c r="D9" s="47">
        <f t="shared" si="1"/>
        <v>1</v>
      </c>
    </row>
    <row r="10" spans="1:14" ht="30" customHeight="1">
      <c r="A10" s="45" t="s">
        <v>5053</v>
      </c>
      <c r="B10" s="45">
        <v>33</v>
      </c>
      <c r="C10" s="47">
        <f t="shared" ref="C10" si="2">_xlfn.FLOOR.MATH(B10,5)</f>
        <v>30</v>
      </c>
      <c r="D10" s="47">
        <f t="shared" ref="D10" si="3">MOD(B10,5)</f>
        <v>3</v>
      </c>
    </row>
  </sheetData>
  <mergeCells count="2">
    <mergeCell ref="A4:D4"/>
    <mergeCell ref="E5:K5"/>
  </mergeCells>
  <pageMargins left="0.7" right="0.7" top="0.75" bottom="0.75" header="0.3" footer="0.3"/>
  <drawing r:id="rId1"/>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AD464-69C2-45A5-83C7-4024E7F7796A}">
  <dimension ref="A1:N9"/>
  <sheetViews>
    <sheetView showGridLines="0" workbookViewId="0">
      <selection activeCell="B5" sqref="B5"/>
    </sheetView>
  </sheetViews>
  <sheetFormatPr defaultRowHeight="14.4"/>
  <cols>
    <col min="1" max="1" width="11.5546875" bestFit="1" customWidth="1"/>
    <col min="3" max="3" width="26.44140625" customWidth="1"/>
    <col min="4" max="4" width="15.5546875" customWidth="1"/>
  </cols>
  <sheetData>
    <row r="1" spans="1:14" ht="26.4" customHeight="1">
      <c r="A1" s="352" t="s">
        <v>5382</v>
      </c>
      <c r="B1" s="349" t="s">
        <v>5385</v>
      </c>
    </row>
    <row r="2" spans="1:14" ht="26.4" customHeight="1">
      <c r="A2" s="351" t="s">
        <v>5383</v>
      </c>
      <c r="B2" s="350" t="s">
        <v>5386</v>
      </c>
    </row>
    <row r="3" spans="1:14" ht="26.4" customHeight="1">
      <c r="B3" s="318"/>
    </row>
    <row r="4" spans="1:14" ht="26.4" customHeight="1">
      <c r="A4" s="469" t="s">
        <v>5401</v>
      </c>
      <c r="B4" s="469"/>
      <c r="C4" s="469"/>
      <c r="D4" s="469"/>
    </row>
    <row r="5" spans="1:14" ht="43.2">
      <c r="A5" s="1" t="s">
        <v>5402</v>
      </c>
      <c r="B5" s="8" t="s">
        <v>469</v>
      </c>
      <c r="C5" s="8" t="s">
        <v>5400</v>
      </c>
      <c r="D5" s="8" t="s">
        <v>5381</v>
      </c>
      <c r="E5" s="469" t="s">
        <v>5384</v>
      </c>
      <c r="F5" s="469"/>
      <c r="G5" s="469"/>
      <c r="H5" s="469"/>
      <c r="I5" s="469"/>
      <c r="J5" s="469"/>
      <c r="N5" s="131"/>
    </row>
    <row r="6" spans="1:14" ht="30" customHeight="1">
      <c r="A6" s="45" t="s">
        <v>5403</v>
      </c>
      <c r="B6" s="45">
        <v>6</v>
      </c>
      <c r="C6" s="47">
        <f>ROUNDDOWN(B6/5,0)*5</f>
        <v>5</v>
      </c>
      <c r="D6" s="47">
        <f>MOD(B6,5)</f>
        <v>1</v>
      </c>
    </row>
    <row r="7" spans="1:14" ht="30" customHeight="1">
      <c r="A7" s="45" t="s">
        <v>5404</v>
      </c>
      <c r="B7" s="45">
        <v>14</v>
      </c>
      <c r="C7" s="47">
        <f t="shared" ref="C7:C9" si="0">ROUNDDOWN(B7/5,0)*5</f>
        <v>10</v>
      </c>
      <c r="D7" s="47">
        <f t="shared" ref="D7:D9" si="1">MOD(B7,5)</f>
        <v>4</v>
      </c>
    </row>
    <row r="8" spans="1:14" ht="30" customHeight="1">
      <c r="A8" s="45" t="s">
        <v>5405</v>
      </c>
      <c r="B8" s="45">
        <v>23</v>
      </c>
      <c r="C8" s="47">
        <f t="shared" si="0"/>
        <v>20</v>
      </c>
      <c r="D8" s="47">
        <f t="shared" si="1"/>
        <v>3</v>
      </c>
    </row>
    <row r="9" spans="1:14" ht="30" customHeight="1">
      <c r="A9" s="45" t="s">
        <v>5406</v>
      </c>
      <c r="B9" s="45">
        <v>27</v>
      </c>
      <c r="C9" s="47">
        <f t="shared" si="0"/>
        <v>25</v>
      </c>
      <c r="D9" s="47">
        <f t="shared" si="1"/>
        <v>2</v>
      </c>
    </row>
  </sheetData>
  <mergeCells count="2">
    <mergeCell ref="A4:D4"/>
    <mergeCell ref="E5:J5"/>
  </mergeCells>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5A3B-1422-40E0-995E-3C1AA22353A1}">
  <dimension ref="A1:D6"/>
  <sheetViews>
    <sheetView workbookViewId="0"/>
  </sheetViews>
  <sheetFormatPr defaultRowHeight="14.4"/>
  <cols>
    <col min="1" max="1" width="8.6640625" bestFit="1" customWidth="1"/>
    <col min="2" max="2" width="9.109375" bestFit="1" customWidth="1"/>
    <col min="3" max="3" width="8.44140625" bestFit="1" customWidth="1"/>
    <col min="4" max="4" width="16.109375" bestFit="1" customWidth="1"/>
  </cols>
  <sheetData>
    <row r="1" spans="1:4">
      <c r="A1" s="1" t="s">
        <v>201</v>
      </c>
      <c r="B1" s="1" t="s">
        <v>210</v>
      </c>
      <c r="C1" s="1" t="s">
        <v>136</v>
      </c>
      <c r="D1" s="1" t="s">
        <v>5365</v>
      </c>
    </row>
    <row r="2" spans="1:4">
      <c r="A2" s="2" t="s">
        <v>3477</v>
      </c>
      <c r="B2" s="2">
        <v>50</v>
      </c>
      <c r="C2" s="338">
        <v>2000</v>
      </c>
      <c r="D2" s="82">
        <v>0.1</v>
      </c>
    </row>
    <row r="3" spans="1:4">
      <c r="A3" s="2" t="s">
        <v>3478</v>
      </c>
      <c r="B3" s="2">
        <v>55</v>
      </c>
      <c r="C3" s="338">
        <v>2500</v>
      </c>
      <c r="D3" s="82">
        <v>0.15</v>
      </c>
    </row>
    <row r="4" spans="1:4">
      <c r="A4" s="2" t="s">
        <v>3479</v>
      </c>
      <c r="B4" s="2">
        <v>45</v>
      </c>
      <c r="C4" s="338">
        <v>1500</v>
      </c>
      <c r="D4" s="82">
        <v>0.4</v>
      </c>
    </row>
    <row r="5" spans="1:4">
      <c r="A5" s="2" t="s">
        <v>3480</v>
      </c>
      <c r="B5" s="2">
        <v>40</v>
      </c>
      <c r="C5" s="338">
        <v>1000</v>
      </c>
      <c r="D5" s="82">
        <v>0.3</v>
      </c>
    </row>
    <row r="6" spans="1:4">
      <c r="A6" s="2" t="s">
        <v>3584</v>
      </c>
      <c r="B6" s="2">
        <v>60</v>
      </c>
      <c r="C6" s="338">
        <v>3000</v>
      </c>
      <c r="D6" s="82">
        <v>0.2</v>
      </c>
    </row>
  </sheetData>
  <pageMargins left="0.7" right="0.7" top="0.75" bottom="0.75" header="0.3" footer="0.3"/>
  <pageSetup orientation="portrait" horizontalDpi="4294967293" verticalDpi="0" r:id="rId1"/>
  <drawing r:id="rId2"/>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7317-7E83-48E4-93B0-B00292F109B6}">
  <dimension ref="A1:D6"/>
  <sheetViews>
    <sheetView workbookViewId="0"/>
  </sheetViews>
  <sheetFormatPr defaultRowHeight="14.4"/>
  <cols>
    <col min="1" max="1" width="6.88671875" bestFit="1" customWidth="1"/>
    <col min="2" max="2" width="8.33203125" bestFit="1" customWidth="1"/>
    <col min="3" max="3" width="9" bestFit="1" customWidth="1"/>
    <col min="4" max="4" width="13.88671875" bestFit="1" customWidth="1"/>
  </cols>
  <sheetData>
    <row r="1" spans="1:4">
      <c r="A1" s="1" t="s">
        <v>5408</v>
      </c>
      <c r="B1" s="1" t="s">
        <v>1153</v>
      </c>
      <c r="C1" s="1" t="s">
        <v>3741</v>
      </c>
      <c r="D1" s="1" t="s">
        <v>5409</v>
      </c>
    </row>
    <row r="2" spans="1:4">
      <c r="A2" s="2" t="s">
        <v>5407</v>
      </c>
      <c r="B2" s="338">
        <v>110000</v>
      </c>
      <c r="C2" s="338">
        <v>11500</v>
      </c>
      <c r="D2" s="82">
        <v>0.2</v>
      </c>
    </row>
    <row r="3" spans="1:4">
      <c r="A3" s="2" t="s">
        <v>5410</v>
      </c>
      <c r="B3" s="338">
        <v>380000</v>
      </c>
      <c r="C3" s="338">
        <v>15040</v>
      </c>
      <c r="D3" s="82">
        <v>0.15</v>
      </c>
    </row>
    <row r="4" spans="1:4">
      <c r="A4" s="2" t="s">
        <v>5411</v>
      </c>
      <c r="B4" s="338">
        <v>240000</v>
      </c>
      <c r="C4" s="338">
        <v>10000</v>
      </c>
      <c r="D4" s="82">
        <v>0.1</v>
      </c>
    </row>
    <row r="5" spans="1:4">
      <c r="A5" s="2" t="s">
        <v>5412</v>
      </c>
      <c r="B5" s="338">
        <v>450000</v>
      </c>
      <c r="C5" s="338">
        <v>13730</v>
      </c>
      <c r="D5" s="82">
        <v>0.05</v>
      </c>
    </row>
    <row r="6" spans="1:4">
      <c r="A6" s="2" t="s">
        <v>5413</v>
      </c>
      <c r="B6" s="338">
        <v>590000</v>
      </c>
      <c r="C6" s="338">
        <v>20000</v>
      </c>
      <c r="D6" s="82">
        <v>0.3</v>
      </c>
    </row>
  </sheetData>
  <pageMargins left="0.7" right="0.7" top="0.75" bottom="0.75" header="0.3" footer="0.3"/>
  <drawing r:id="rId1"/>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04C4-BC90-4034-BFB7-9794EBE99DD7}">
  <dimension ref="A1:D6"/>
  <sheetViews>
    <sheetView workbookViewId="0"/>
  </sheetViews>
  <sheetFormatPr defaultRowHeight="14.4"/>
  <cols>
    <col min="1" max="1" width="11" bestFit="1" customWidth="1"/>
    <col min="2" max="2" width="20.5546875" bestFit="1" customWidth="1"/>
    <col min="3" max="3" width="14.109375" bestFit="1" customWidth="1"/>
    <col min="4" max="4" width="25.88671875" bestFit="1" customWidth="1"/>
  </cols>
  <sheetData>
    <row r="1" spans="1:4">
      <c r="A1" s="1" t="s">
        <v>5417</v>
      </c>
      <c r="B1" s="1" t="s">
        <v>5414</v>
      </c>
      <c r="C1" s="1" t="s">
        <v>5415</v>
      </c>
      <c r="D1" s="1" t="s">
        <v>5416</v>
      </c>
    </row>
    <row r="2" spans="1:4">
      <c r="A2" s="2" t="s">
        <v>5418</v>
      </c>
      <c r="B2" s="2">
        <v>20</v>
      </c>
      <c r="C2" s="338">
        <v>2000</v>
      </c>
      <c r="D2" s="338">
        <v>23000</v>
      </c>
    </row>
    <row r="3" spans="1:4">
      <c r="A3" s="2" t="s">
        <v>5419</v>
      </c>
      <c r="B3" s="2">
        <v>33</v>
      </c>
      <c r="C3" s="338">
        <v>1500</v>
      </c>
      <c r="D3" s="338">
        <v>20000</v>
      </c>
    </row>
    <row r="4" spans="1:4">
      <c r="A4" s="2" t="s">
        <v>5420</v>
      </c>
      <c r="B4" s="2">
        <v>42</v>
      </c>
      <c r="C4" s="338">
        <v>2200</v>
      </c>
      <c r="D4" s="338">
        <v>15000</v>
      </c>
    </row>
    <row r="5" spans="1:4">
      <c r="A5" s="2" t="s">
        <v>5421</v>
      </c>
      <c r="B5" s="2">
        <v>65</v>
      </c>
      <c r="C5" s="338">
        <v>4500</v>
      </c>
      <c r="D5" s="338">
        <v>38000</v>
      </c>
    </row>
    <row r="6" spans="1:4">
      <c r="A6" s="2" t="s">
        <v>5422</v>
      </c>
      <c r="B6" s="2">
        <v>50</v>
      </c>
      <c r="C6" s="338">
        <v>3000</v>
      </c>
      <c r="D6" s="338">
        <v>30000</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311C-26A1-4CAB-8701-D0F7066EFA4F}">
  <dimension ref="A1:D7"/>
  <sheetViews>
    <sheetView workbookViewId="0"/>
  </sheetViews>
  <sheetFormatPr defaultRowHeight="14.4"/>
  <cols>
    <col min="1" max="1" width="10.44140625" customWidth="1"/>
    <col min="2" max="2" width="12.5546875" customWidth="1"/>
    <col min="3" max="4" width="10.109375" customWidth="1"/>
  </cols>
  <sheetData>
    <row r="1" spans="1:4">
      <c r="A1" s="1" t="s">
        <v>201</v>
      </c>
      <c r="B1" s="1" t="s">
        <v>858</v>
      </c>
      <c r="C1" s="1" t="s">
        <v>319</v>
      </c>
      <c r="D1" s="1" t="s">
        <v>3741</v>
      </c>
    </row>
    <row r="2" spans="1:4">
      <c r="A2" s="2" t="s">
        <v>5423</v>
      </c>
      <c r="B2" s="338">
        <v>5000</v>
      </c>
      <c r="C2" s="338">
        <v>50000</v>
      </c>
      <c r="D2" s="338">
        <v>2500</v>
      </c>
    </row>
    <row r="3" spans="1:4">
      <c r="A3" s="2" t="s">
        <v>5424</v>
      </c>
      <c r="B3" s="338">
        <v>15000</v>
      </c>
      <c r="C3" s="338">
        <v>85000</v>
      </c>
      <c r="D3" s="338">
        <v>7500</v>
      </c>
    </row>
    <row r="4" spans="1:4">
      <c r="A4" s="2" t="s">
        <v>5425</v>
      </c>
      <c r="B4" s="338">
        <v>7000</v>
      </c>
      <c r="C4" s="338">
        <v>100000</v>
      </c>
      <c r="D4" s="338">
        <v>10000</v>
      </c>
    </row>
    <row r="5" spans="1:4">
      <c r="A5" s="2" t="s">
        <v>5426</v>
      </c>
      <c r="B5" s="338">
        <v>10000</v>
      </c>
      <c r="C5" s="338">
        <v>45000</v>
      </c>
      <c r="D5" s="338">
        <v>4500</v>
      </c>
    </row>
    <row r="6" spans="1:4">
      <c r="A6" s="2" t="s">
        <v>5427</v>
      </c>
      <c r="B6" s="338">
        <v>3000</v>
      </c>
      <c r="C6" s="338">
        <v>30000</v>
      </c>
      <c r="D6" s="338">
        <v>1000</v>
      </c>
    </row>
    <row r="7" spans="1:4">
      <c r="A7" s="2" t="s">
        <v>5428</v>
      </c>
      <c r="B7" s="338">
        <v>20000</v>
      </c>
      <c r="C7" s="338">
        <v>120000</v>
      </c>
      <c r="D7" s="338">
        <v>13000</v>
      </c>
    </row>
  </sheetData>
  <pageMargins left="0.7" right="0.7" top="0.75" bottom="0.75" header="0.3" footer="0.3"/>
  <drawing r:id="rId1"/>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4F746-F95C-47EE-AB3C-3D1E5B57015A}">
  <dimension ref="A1:D15"/>
  <sheetViews>
    <sheetView workbookViewId="0">
      <selection activeCell="A2" sqref="A2"/>
    </sheetView>
  </sheetViews>
  <sheetFormatPr defaultRowHeight="14.4"/>
  <cols>
    <col min="1" max="1" width="7.44140625" bestFit="1" customWidth="1"/>
    <col min="2" max="2" width="12" bestFit="1" customWidth="1"/>
    <col min="3" max="3" width="8.44140625" bestFit="1" customWidth="1"/>
    <col min="4" max="4" width="9" bestFit="1" customWidth="1"/>
  </cols>
  <sheetData>
    <row r="1" spans="1:4">
      <c r="A1" s="369" t="s">
        <v>4192</v>
      </c>
      <c r="B1" s="369"/>
      <c r="C1" s="369"/>
      <c r="D1" s="369"/>
    </row>
    <row r="2" spans="1:4">
      <c r="A2" s="1" t="s">
        <v>201</v>
      </c>
      <c r="B2" s="1" t="s">
        <v>858</v>
      </c>
      <c r="C2" s="1" t="s">
        <v>319</v>
      </c>
      <c r="D2" s="1" t="s">
        <v>3741</v>
      </c>
    </row>
    <row r="3" spans="1:4">
      <c r="A3" s="2" t="s">
        <v>3405</v>
      </c>
      <c r="B3" s="338">
        <v>10000</v>
      </c>
      <c r="C3" s="338">
        <v>30000</v>
      </c>
      <c r="D3" s="338">
        <v>5000</v>
      </c>
    </row>
    <row r="4" spans="1:4">
      <c r="A4" s="2" t="s">
        <v>3406</v>
      </c>
      <c r="B4" s="338">
        <v>12000</v>
      </c>
      <c r="C4" s="338">
        <v>32000</v>
      </c>
      <c r="D4" s="338">
        <v>15000</v>
      </c>
    </row>
    <row r="5" spans="1:4">
      <c r="A5" s="2" t="s">
        <v>3407</v>
      </c>
      <c r="B5" s="338">
        <v>8000</v>
      </c>
      <c r="C5" s="338">
        <v>28000</v>
      </c>
      <c r="D5" s="338">
        <v>10000</v>
      </c>
    </row>
    <row r="6" spans="1:4">
      <c r="A6" s="2" t="s">
        <v>5429</v>
      </c>
      <c r="B6" s="338">
        <v>6000</v>
      </c>
      <c r="C6" s="338">
        <v>26000</v>
      </c>
      <c r="D6" s="338">
        <v>4000</v>
      </c>
    </row>
    <row r="7" spans="1:4">
      <c r="A7" s="2" t="s">
        <v>5430</v>
      </c>
      <c r="B7" s="338">
        <v>14000</v>
      </c>
      <c r="C7" s="338">
        <v>34000</v>
      </c>
      <c r="D7" s="338">
        <v>12000</v>
      </c>
    </row>
    <row r="9" spans="1:4">
      <c r="A9" s="369" t="s">
        <v>4193</v>
      </c>
      <c r="B9" s="369"/>
      <c r="C9" s="369"/>
      <c r="D9" s="369"/>
    </row>
    <row r="10" spans="1:4">
      <c r="A10" s="1" t="s">
        <v>201</v>
      </c>
      <c r="B10" s="1" t="s">
        <v>858</v>
      </c>
      <c r="C10" s="1" t="s">
        <v>319</v>
      </c>
      <c r="D10" s="1" t="s">
        <v>3741</v>
      </c>
    </row>
    <row r="11" spans="1:4">
      <c r="A11" s="2" t="s">
        <v>3405</v>
      </c>
      <c r="B11" s="338">
        <v>7000</v>
      </c>
      <c r="C11" s="338">
        <v>18000</v>
      </c>
      <c r="D11" s="338">
        <v>8000</v>
      </c>
    </row>
    <row r="12" spans="1:4">
      <c r="A12" s="2" t="s">
        <v>3406</v>
      </c>
      <c r="B12" s="338">
        <v>4000</v>
      </c>
      <c r="C12" s="338">
        <v>10000</v>
      </c>
      <c r="D12" s="338">
        <v>3000</v>
      </c>
    </row>
    <row r="13" spans="1:4">
      <c r="A13" s="2" t="s">
        <v>3407</v>
      </c>
      <c r="B13" s="338">
        <v>6000</v>
      </c>
      <c r="C13" s="338">
        <v>15000</v>
      </c>
      <c r="D13" s="338">
        <v>10000</v>
      </c>
    </row>
    <row r="14" spans="1:4">
      <c r="A14" s="2" t="s">
        <v>5429</v>
      </c>
      <c r="B14" s="338">
        <v>5000</v>
      </c>
      <c r="C14" s="338">
        <v>13000</v>
      </c>
      <c r="D14" s="338">
        <v>7000</v>
      </c>
    </row>
    <row r="15" spans="1:4">
      <c r="A15" s="2" t="s">
        <v>5430</v>
      </c>
      <c r="B15" s="338">
        <v>9000</v>
      </c>
      <c r="C15" s="338">
        <v>20000</v>
      </c>
      <c r="D15" s="338">
        <v>12000</v>
      </c>
    </row>
  </sheetData>
  <mergeCells count="2">
    <mergeCell ref="A1:D1"/>
    <mergeCell ref="A9:D9"/>
  </mergeCells>
  <pageMargins left="0.7" right="0.7" top="0.75" bottom="0.75" header="0.3" footer="0.3"/>
  <pageSetup orientation="portrait" horizontalDpi="4294967293" verticalDpi="0" r:id="rId1"/>
  <drawing r:id="rId2"/>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95EA-F962-4D37-9FC2-0DDF8C11915B}">
  <dimension ref="A5:I7"/>
  <sheetViews>
    <sheetView showGridLines="0" topLeftCell="A136" zoomScale="130" zoomScaleNormal="130" workbookViewId="0">
      <selection activeCell="D8" sqref="D8"/>
    </sheetView>
  </sheetViews>
  <sheetFormatPr defaultRowHeight="14.4"/>
  <sheetData>
    <row r="5" spans="1:9">
      <c r="A5" s="131" t="s">
        <v>5463</v>
      </c>
    </row>
    <row r="6" spans="1:9">
      <c r="A6" s="242"/>
    </row>
    <row r="7" spans="1:9">
      <c r="I7" s="242"/>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FDBE-4C3F-4042-B14F-B07CD43DE783}">
  <dimension ref="A2:K8"/>
  <sheetViews>
    <sheetView showGridLines="0" zoomScale="110" zoomScaleNormal="110" workbookViewId="0">
      <selection activeCell="C11" sqref="C11"/>
    </sheetView>
  </sheetViews>
  <sheetFormatPr defaultRowHeight="14.4"/>
  <cols>
    <col min="1" max="2" width="8.33203125" bestFit="1" customWidth="1"/>
    <col min="3" max="3" width="9.109375" bestFit="1" customWidth="1"/>
    <col min="4" max="4" width="9.5546875" bestFit="1" customWidth="1"/>
    <col min="5" max="5" width="5.109375" customWidth="1"/>
    <col min="6" max="6" width="6.33203125" customWidth="1"/>
    <col min="7" max="7" width="9.5546875" bestFit="1" customWidth="1"/>
    <col min="8" max="8" width="8.6640625" customWidth="1"/>
    <col min="9" max="10" width="8.109375" customWidth="1"/>
    <col min="11" max="11" width="10.33203125" bestFit="1" customWidth="1"/>
  </cols>
  <sheetData>
    <row r="2" spans="1:11">
      <c r="A2" s="369" t="s">
        <v>5431</v>
      </c>
      <c r="B2" s="369"/>
      <c r="C2" s="369"/>
      <c r="D2" s="369"/>
      <c r="G2" s="369" t="s">
        <v>5432</v>
      </c>
      <c r="H2" s="369"/>
      <c r="I2" s="369"/>
      <c r="J2" s="369"/>
      <c r="K2" s="369"/>
    </row>
    <row r="3" spans="1:11">
      <c r="A3" s="1" t="s">
        <v>340</v>
      </c>
      <c r="B3" s="1" t="s">
        <v>1538</v>
      </c>
      <c r="C3" s="1" t="s">
        <v>1534</v>
      </c>
      <c r="D3" s="1" t="s">
        <v>1535</v>
      </c>
      <c r="G3" s="354"/>
      <c r="H3" s="354" t="s">
        <v>340</v>
      </c>
      <c r="I3" s="354" t="s">
        <v>1538</v>
      </c>
      <c r="J3" s="354" t="s">
        <v>1534</v>
      </c>
      <c r="K3" s="354" t="s">
        <v>1535</v>
      </c>
    </row>
    <row r="4" spans="1:11">
      <c r="A4" s="355">
        <v>151.91999999999999</v>
      </c>
      <c r="B4" s="355">
        <v>100.05</v>
      </c>
      <c r="C4" s="355">
        <v>100.77</v>
      </c>
      <c r="D4" s="355">
        <v>266.73</v>
      </c>
      <c r="G4" t="s">
        <v>340</v>
      </c>
      <c r="H4">
        <f>VARP(CovMat_Example!$A$4:$A$8)</f>
        <v>64.958904000000047</v>
      </c>
    </row>
    <row r="5" spans="1:11">
      <c r="A5" s="53">
        <v>174.38</v>
      </c>
      <c r="B5" s="53">
        <v>111.51</v>
      </c>
      <c r="C5" s="53">
        <v>111.65</v>
      </c>
      <c r="D5" s="53">
        <v>277.14</v>
      </c>
      <c r="G5" t="s">
        <v>1538</v>
      </c>
      <c r="H5">
        <v>42.221988000000053</v>
      </c>
      <c r="I5">
        <f>VARP(CovMat_Example!$B$4:$B$8)</f>
        <v>69.538015999999999</v>
      </c>
    </row>
    <row r="6" spans="1:11">
      <c r="A6" s="53">
        <v>161.22</v>
      </c>
      <c r="B6" s="53">
        <v>120.11</v>
      </c>
      <c r="C6" s="53">
        <v>110.18</v>
      </c>
      <c r="D6" s="53">
        <v>289.49</v>
      </c>
      <c r="G6" t="s">
        <v>1534</v>
      </c>
      <c r="H6">
        <v>41.749612000000035</v>
      </c>
      <c r="I6">
        <v>46.408204000000026</v>
      </c>
      <c r="J6">
        <f>VARP(CovMat_Example!$C$4:$C$8)</f>
        <v>63.362375999999983</v>
      </c>
    </row>
    <row r="7" spans="1:11" ht="15" thickBot="1">
      <c r="A7" s="53">
        <v>162.29</v>
      </c>
      <c r="B7" s="53">
        <v>110.23</v>
      </c>
      <c r="C7" s="53">
        <v>120.27</v>
      </c>
      <c r="D7" s="53">
        <v>286.77</v>
      </c>
      <c r="G7" s="169" t="s">
        <v>1535</v>
      </c>
      <c r="H7" s="169">
        <v>12.863339999999988</v>
      </c>
      <c r="I7" s="169">
        <v>36.817780000000056</v>
      </c>
      <c r="J7" s="169">
        <v>30.142460000000007</v>
      </c>
      <c r="K7" s="169">
        <f>VARP(CovMat_Example!$D$4:$D$8)</f>
        <v>66.357879999999867</v>
      </c>
    </row>
    <row r="8" spans="1:11">
      <c r="A8" s="53">
        <v>171.81</v>
      </c>
      <c r="B8" s="53">
        <v>123.94</v>
      </c>
      <c r="C8" s="53">
        <v>123.24</v>
      </c>
      <c r="D8" s="53">
        <v>276.22000000000003</v>
      </c>
    </row>
  </sheetData>
  <mergeCells count="2">
    <mergeCell ref="A2:D2"/>
    <mergeCell ref="G2:K2"/>
  </mergeCells>
  <pageMargins left="0.7" right="0.7" top="0.75" bottom="0.75" header="0.3" footer="0.3"/>
  <pageSetup orientation="portrait" horizontalDpi="4294967293" r:id="rId1"/>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36F3-5081-48DF-92AC-F38F383D5D46}">
  <dimension ref="A2:I8"/>
  <sheetViews>
    <sheetView showGridLines="0" tabSelected="1" workbookViewId="0">
      <selection activeCell="F14" sqref="F14"/>
    </sheetView>
  </sheetViews>
  <sheetFormatPr defaultRowHeight="14.4"/>
  <cols>
    <col min="1" max="1" width="12.109375" bestFit="1" customWidth="1"/>
    <col min="2" max="2" width="8.6640625" customWidth="1"/>
    <col min="3" max="3" width="10.6640625" bestFit="1" customWidth="1"/>
    <col min="4" max="4" width="12.5546875" bestFit="1" customWidth="1"/>
    <col min="5" max="5" width="3.33203125" customWidth="1"/>
    <col min="6" max="6" width="12.44140625" bestFit="1" customWidth="1"/>
    <col min="7" max="7" width="7.6640625" bestFit="1" customWidth="1"/>
    <col min="8" max="8" width="11.33203125" bestFit="1" customWidth="1"/>
    <col min="9" max="9" width="13.109375" bestFit="1" customWidth="1"/>
  </cols>
  <sheetData>
    <row r="2" spans="1:9" ht="15" thickBot="1">
      <c r="A2" s="369" t="s">
        <v>5435</v>
      </c>
      <c r="B2" s="371" t="s">
        <v>5434</v>
      </c>
      <c r="C2" s="372"/>
      <c r="D2" s="373"/>
      <c r="F2" s="369" t="s">
        <v>5432</v>
      </c>
      <c r="G2" s="369"/>
      <c r="H2" s="369"/>
      <c r="I2" s="369"/>
    </row>
    <row r="3" spans="1:9">
      <c r="A3" s="369"/>
      <c r="B3" s="1" t="s">
        <v>98</v>
      </c>
      <c r="C3" s="1" t="s">
        <v>99</v>
      </c>
      <c r="D3" s="1" t="s">
        <v>394</v>
      </c>
      <c r="F3" s="245"/>
      <c r="G3" s="245" t="s">
        <v>98</v>
      </c>
      <c r="H3" s="245" t="s">
        <v>99</v>
      </c>
      <c r="I3" s="245" t="s">
        <v>394</v>
      </c>
    </row>
    <row r="4" spans="1:9">
      <c r="A4" s="2">
        <v>1</v>
      </c>
      <c r="B4" s="356">
        <v>98</v>
      </c>
      <c r="C4" s="356">
        <v>99</v>
      </c>
      <c r="D4" s="356">
        <v>75</v>
      </c>
      <c r="F4" t="s">
        <v>98</v>
      </c>
      <c r="G4">
        <f>VARP(CovMat_Use!$B$4:$B$8)</f>
        <v>58.96</v>
      </c>
    </row>
    <row r="5" spans="1:9">
      <c r="A5" s="2">
        <v>2</v>
      </c>
      <c r="B5" s="357">
        <v>80</v>
      </c>
      <c r="C5" s="357">
        <v>85</v>
      </c>
      <c r="D5" s="357">
        <v>100</v>
      </c>
      <c r="F5" t="s">
        <v>99</v>
      </c>
      <c r="G5">
        <v>57.2</v>
      </c>
      <c r="H5">
        <f>VARP(CovMat_Use!$C$4:$C$8)</f>
        <v>72.8</v>
      </c>
    </row>
    <row r="6" spans="1:9" ht="15" thickBot="1">
      <c r="A6" s="2">
        <v>3</v>
      </c>
      <c r="B6" s="357">
        <v>87</v>
      </c>
      <c r="C6" s="357">
        <v>83</v>
      </c>
      <c r="D6" s="357">
        <v>91</v>
      </c>
      <c r="F6" s="169" t="s">
        <v>394</v>
      </c>
      <c r="G6" s="169">
        <v>-22.999999999999993</v>
      </c>
      <c r="H6" s="169">
        <v>-12.4</v>
      </c>
      <c r="I6" s="169">
        <f>VARP(CovMat_Use!$D$4:$D$8)</f>
        <v>84.4</v>
      </c>
    </row>
    <row r="7" spans="1:9">
      <c r="A7" s="2">
        <v>4</v>
      </c>
      <c r="B7" s="357">
        <v>95</v>
      </c>
      <c r="C7" s="357">
        <v>90</v>
      </c>
      <c r="D7" s="357">
        <v>94</v>
      </c>
    </row>
    <row r="8" spans="1:9">
      <c r="A8" s="2">
        <v>5</v>
      </c>
      <c r="B8" s="357">
        <v>79</v>
      </c>
      <c r="C8" s="357">
        <v>73</v>
      </c>
      <c r="D8" s="357">
        <v>80</v>
      </c>
    </row>
  </sheetData>
  <mergeCells count="3">
    <mergeCell ref="B2:D2"/>
    <mergeCell ref="F2:I2"/>
    <mergeCell ref="A2:A3"/>
  </mergeCells>
  <pageMargins left="0.7" right="0.7" top="0.75" bottom="0.75" header="0.3" footer="0.3"/>
  <pageSetup orientation="portrait" r:id="rId1"/>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BD5C-36DD-4FE2-A9FD-86FDAFA3FF50}">
  <dimension ref="A2:I13"/>
  <sheetViews>
    <sheetView showGridLines="0" workbookViewId="0">
      <selection activeCell="B17" sqref="B17"/>
    </sheetView>
  </sheetViews>
  <sheetFormatPr defaultRowHeight="14.4"/>
  <cols>
    <col min="1" max="1" width="8.109375" customWidth="1"/>
    <col min="2" max="2" width="13" customWidth="1"/>
    <col min="3" max="3" width="11.5546875" customWidth="1"/>
    <col min="4" max="4" width="12.5546875" customWidth="1"/>
    <col min="5" max="5" width="2.44140625" customWidth="1"/>
    <col min="6" max="6" width="7.44140625" bestFit="1" customWidth="1"/>
    <col min="7" max="8" width="8.5546875" customWidth="1"/>
    <col min="9" max="9" width="10.88671875" customWidth="1"/>
  </cols>
  <sheetData>
    <row r="2" spans="1:9" ht="15" thickBot="1">
      <c r="A2" s="369" t="s">
        <v>2232</v>
      </c>
      <c r="B2" s="371" t="s">
        <v>5447</v>
      </c>
      <c r="C2" s="372"/>
      <c r="D2" s="373"/>
      <c r="F2" s="369" t="s">
        <v>5432</v>
      </c>
      <c r="G2" s="369"/>
      <c r="H2" s="369"/>
      <c r="I2" s="369"/>
    </row>
    <row r="3" spans="1:9">
      <c r="A3" s="369"/>
      <c r="B3" s="1" t="s">
        <v>899</v>
      </c>
      <c r="C3" s="1" t="s">
        <v>3252</v>
      </c>
      <c r="D3" s="1" t="s">
        <v>5446</v>
      </c>
      <c r="F3" s="245"/>
      <c r="G3" s="245" t="s">
        <v>899</v>
      </c>
      <c r="H3" s="245" t="s">
        <v>3252</v>
      </c>
      <c r="I3" s="245" t="s">
        <v>5446</v>
      </c>
    </row>
    <row r="4" spans="1:9">
      <c r="A4" s="2" t="s">
        <v>5436</v>
      </c>
      <c r="B4" s="356">
        <v>40</v>
      </c>
      <c r="C4" s="356">
        <v>63</v>
      </c>
      <c r="D4" s="356">
        <v>161</v>
      </c>
      <c r="F4" t="s">
        <v>899</v>
      </c>
      <c r="G4">
        <f>VARP('CovMat_Example 1'!$B$4:$B$13)</f>
        <v>13.05</v>
      </c>
    </row>
    <row r="5" spans="1:9">
      <c r="A5" s="2" t="s">
        <v>5437</v>
      </c>
      <c r="B5" s="356">
        <v>35</v>
      </c>
      <c r="C5" s="356">
        <v>59</v>
      </c>
      <c r="D5" s="356">
        <v>159</v>
      </c>
      <c r="F5" t="s">
        <v>3252</v>
      </c>
      <c r="G5">
        <v>7.95</v>
      </c>
      <c r="H5">
        <f>VARP('CovMat_Example 1'!$C$4:$C$13)</f>
        <v>21.65</v>
      </c>
    </row>
    <row r="6" spans="1:9" ht="15" thickBot="1">
      <c r="A6" s="2" t="s">
        <v>5438</v>
      </c>
      <c r="B6" s="356">
        <v>39</v>
      </c>
      <c r="C6" s="356">
        <v>64</v>
      </c>
      <c r="D6" s="356">
        <v>163</v>
      </c>
      <c r="F6" s="169" t="s">
        <v>5446</v>
      </c>
      <c r="G6" s="169">
        <v>7.85</v>
      </c>
      <c r="H6" s="169">
        <v>19.05</v>
      </c>
      <c r="I6" s="169">
        <f>VARP('CovMat_Example 1'!$D$4:$D$13)</f>
        <v>17.850000000000001</v>
      </c>
    </row>
    <row r="7" spans="1:9">
      <c r="A7" s="2" t="s">
        <v>5439</v>
      </c>
      <c r="B7" s="356">
        <v>32</v>
      </c>
      <c r="C7" s="356">
        <v>69</v>
      </c>
      <c r="D7" s="356">
        <v>165</v>
      </c>
    </row>
    <row r="8" spans="1:9">
      <c r="A8" s="2" t="s">
        <v>5440</v>
      </c>
      <c r="B8" s="356">
        <v>33</v>
      </c>
      <c r="C8" s="356">
        <v>60</v>
      </c>
      <c r="D8" s="356">
        <v>160</v>
      </c>
    </row>
    <row r="9" spans="1:9">
      <c r="A9" s="2" t="s">
        <v>5441</v>
      </c>
      <c r="B9" s="356">
        <v>30</v>
      </c>
      <c r="C9" s="356">
        <v>55</v>
      </c>
      <c r="D9" s="356">
        <v>155</v>
      </c>
    </row>
    <row r="10" spans="1:9">
      <c r="A10" s="2" t="s">
        <v>5442</v>
      </c>
      <c r="B10" s="356">
        <v>31</v>
      </c>
      <c r="C10" s="356">
        <v>61</v>
      </c>
      <c r="D10" s="356">
        <v>160</v>
      </c>
    </row>
    <row r="11" spans="1:9">
      <c r="A11" s="2" t="s">
        <v>5443</v>
      </c>
      <c r="B11" s="356">
        <v>40</v>
      </c>
      <c r="C11" s="356">
        <v>65</v>
      </c>
      <c r="D11" s="356">
        <v>164</v>
      </c>
    </row>
    <row r="12" spans="1:9">
      <c r="A12" s="2" t="s">
        <v>5444</v>
      </c>
      <c r="B12" s="356">
        <v>38</v>
      </c>
      <c r="C12" s="356">
        <v>69</v>
      </c>
      <c r="D12" s="356">
        <v>168</v>
      </c>
    </row>
    <row r="13" spans="1:9">
      <c r="A13" s="2" t="s">
        <v>5445</v>
      </c>
      <c r="B13" s="356">
        <v>37</v>
      </c>
      <c r="C13" s="356">
        <v>70</v>
      </c>
      <c r="D13" s="356">
        <v>170</v>
      </c>
    </row>
  </sheetData>
  <mergeCells count="3">
    <mergeCell ref="A2:A3"/>
    <mergeCell ref="B2:D2"/>
    <mergeCell ref="F2:I2"/>
  </mergeCell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CD91-528D-40D9-8435-03F41532EDCE}">
  <dimension ref="A1:M4"/>
  <sheetViews>
    <sheetView showGridLines="0" zoomScaleNormal="100" workbookViewId="0">
      <selection activeCell="D13" sqref="D13"/>
    </sheetView>
  </sheetViews>
  <sheetFormatPr defaultRowHeight="14.4"/>
  <cols>
    <col min="1" max="1" width="12.44140625" customWidth="1"/>
    <col min="2" max="2" width="16.6640625" customWidth="1"/>
    <col min="3" max="3" width="7.6640625" customWidth="1"/>
    <col min="4" max="4" width="7.33203125" customWidth="1"/>
    <col min="5" max="5" width="7.44140625" customWidth="1"/>
    <col min="6" max="6" width="7.6640625" customWidth="1"/>
    <col min="7" max="7" width="7.5546875" customWidth="1"/>
    <col min="8" max="8" width="7.88671875" customWidth="1"/>
    <col min="9" max="9" width="6" customWidth="1"/>
    <col min="10" max="10" width="6.44140625" customWidth="1"/>
    <col min="11" max="11" width="17.33203125" bestFit="1" customWidth="1"/>
    <col min="12" max="12" width="17.6640625" bestFit="1" customWidth="1"/>
    <col min="13" max="13" width="16.33203125" bestFit="1" customWidth="1"/>
  </cols>
  <sheetData>
    <row r="1" spans="1:13" ht="15" thickBot="1">
      <c r="C1" s="369" t="s">
        <v>33</v>
      </c>
      <c r="D1" s="369"/>
      <c r="E1" s="369"/>
      <c r="F1" s="369"/>
      <c r="G1" s="369"/>
      <c r="H1" s="369"/>
      <c r="K1" s="371" t="s">
        <v>5432</v>
      </c>
      <c r="L1" s="372"/>
      <c r="M1" s="373"/>
    </row>
    <row r="2" spans="1:13">
      <c r="C2" s="1">
        <v>2015</v>
      </c>
      <c r="D2" s="1">
        <v>2016</v>
      </c>
      <c r="E2" s="1">
        <v>2017</v>
      </c>
      <c r="F2" s="1">
        <v>2018</v>
      </c>
      <c r="G2" s="1">
        <v>2019</v>
      </c>
      <c r="H2" s="1">
        <v>2020</v>
      </c>
      <c r="K2" s="245"/>
      <c r="L2" s="245" t="s">
        <v>5448</v>
      </c>
      <c r="M2" s="245" t="s">
        <v>5449</v>
      </c>
    </row>
    <row r="3" spans="1:13">
      <c r="A3" s="469" t="s">
        <v>5450</v>
      </c>
      <c r="B3" s="1" t="s">
        <v>5448</v>
      </c>
      <c r="C3" s="15">
        <v>8.5000000000000006E-2</v>
      </c>
      <c r="D3" s="15">
        <v>9.9000000000000005E-2</v>
      </c>
      <c r="E3" s="15">
        <v>9.5000000000000001E-2</v>
      </c>
      <c r="F3" s="15">
        <v>7.85E-2</v>
      </c>
      <c r="G3" s="15">
        <v>6.9800000000000001E-2</v>
      </c>
      <c r="H3" s="15">
        <v>8.8800000000000004E-2</v>
      </c>
      <c r="K3" t="s">
        <v>5448</v>
      </c>
      <c r="L3">
        <f>VARP('CovMat_Example 2'!$C$3:$H$3)</f>
        <v>9.6254722222222704E-5</v>
      </c>
    </row>
    <row r="4" spans="1:13" ht="15" thickBot="1">
      <c r="A4" s="469"/>
      <c r="B4" s="1" t="s">
        <v>5449</v>
      </c>
      <c r="C4" s="15">
        <v>6.4500000000000002E-2</v>
      </c>
      <c r="D4" s="15">
        <v>8.3400000000000002E-2</v>
      </c>
      <c r="E4" s="15">
        <v>9.5500000000000002E-2</v>
      </c>
      <c r="F4" s="15">
        <v>6.3100000000000003E-2</v>
      </c>
      <c r="G4" s="15">
        <v>7.1400000000000005E-2</v>
      </c>
      <c r="H4" s="15">
        <v>5.8200000000000002E-2</v>
      </c>
      <c r="K4" s="169" t="s">
        <v>5449</v>
      </c>
      <c r="L4" s="169">
        <v>6.7493611111111096E-5</v>
      </c>
      <c r="M4" s="169">
        <f>VARP('CovMat_Example 2'!$C$4:$H$4)</f>
        <v>1.6761138888888829E-4</v>
      </c>
    </row>
  </sheetData>
  <mergeCells count="3">
    <mergeCell ref="A3:A4"/>
    <mergeCell ref="C1:H1"/>
    <mergeCell ref="K1:M1"/>
  </mergeCell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C44-1D1C-494B-AFB8-9C4013689AA5}">
  <dimension ref="A1:J15"/>
  <sheetViews>
    <sheetView showGridLines="0" workbookViewId="0">
      <selection activeCell="A18" sqref="A18"/>
    </sheetView>
  </sheetViews>
  <sheetFormatPr defaultRowHeight="14.4"/>
  <cols>
    <col min="1" max="3" width="9.109375" customWidth="1"/>
    <col min="4" max="4" width="3" customWidth="1"/>
    <col min="5" max="5" width="2.88671875" customWidth="1"/>
    <col min="6" max="6" width="6.109375" customWidth="1"/>
    <col min="7" max="7" width="8.33203125" customWidth="1"/>
    <col min="8" max="8" width="9" customWidth="1"/>
    <col min="9" max="9" width="8.44140625" customWidth="1"/>
    <col min="10" max="10" width="9.6640625" customWidth="1"/>
  </cols>
  <sheetData>
    <row r="1" spans="1:10">
      <c r="A1" s="369" t="s">
        <v>5433</v>
      </c>
      <c r="B1" s="369"/>
      <c r="C1" s="369"/>
      <c r="F1" s="371" t="s">
        <v>5453</v>
      </c>
      <c r="G1" s="372"/>
      <c r="H1" s="372"/>
      <c r="I1" s="372"/>
      <c r="J1" s="373"/>
    </row>
    <row r="2" spans="1:10">
      <c r="A2" s="1" t="s">
        <v>3511</v>
      </c>
      <c r="B2" s="1" t="s">
        <v>3512</v>
      </c>
      <c r="C2" s="1" t="s">
        <v>1760</v>
      </c>
      <c r="F2" s="1" t="s">
        <v>5454</v>
      </c>
      <c r="G2" s="364">
        <f>AVERAGE(A3:A7)</f>
        <v>21.2</v>
      </c>
      <c r="H2" s="353" t="s">
        <v>5456</v>
      </c>
      <c r="I2" s="1" t="s">
        <v>5457</v>
      </c>
      <c r="J2" s="1" t="s">
        <v>5459</v>
      </c>
    </row>
    <row r="3" spans="1:10">
      <c r="A3" s="356">
        <v>10</v>
      </c>
      <c r="B3" s="356">
        <v>14</v>
      </c>
      <c r="C3" s="356">
        <v>38</v>
      </c>
      <c r="F3" s="1" t="s">
        <v>5455</v>
      </c>
      <c r="G3" s="364">
        <f>AVERAGE(B3:B7)</f>
        <v>29</v>
      </c>
      <c r="H3" s="358">
        <f>A3-$G$2</f>
        <v>-11.2</v>
      </c>
      <c r="I3" s="358">
        <f>B3-$G$3</f>
        <v>-15</v>
      </c>
      <c r="J3" s="358">
        <f>C3-$G$4</f>
        <v>9.3999999999999986</v>
      </c>
    </row>
    <row r="4" spans="1:10">
      <c r="A4" s="357">
        <v>25</v>
      </c>
      <c r="B4" s="357">
        <v>29</v>
      </c>
      <c r="C4" s="357">
        <v>27</v>
      </c>
      <c r="F4" s="1" t="s">
        <v>5458</v>
      </c>
      <c r="G4" s="357">
        <f>AVERAGE(C3:C7)</f>
        <v>28.6</v>
      </c>
      <c r="H4" s="358">
        <f>A4-$G$2</f>
        <v>3.8000000000000007</v>
      </c>
      <c r="I4" s="358">
        <f>B4-$G$3</f>
        <v>0</v>
      </c>
      <c r="J4" s="358">
        <f>C4-$G$4</f>
        <v>-1.6000000000000014</v>
      </c>
    </row>
    <row r="5" spans="1:10">
      <c r="A5" s="357">
        <v>15</v>
      </c>
      <c r="B5" s="357">
        <v>33</v>
      </c>
      <c r="C5" s="357">
        <v>21</v>
      </c>
      <c r="F5" s="1" t="s">
        <v>1721</v>
      </c>
      <c r="G5" s="45">
        <v>5</v>
      </c>
      <c r="H5" s="358">
        <f>A5-$G$2</f>
        <v>-6.1999999999999993</v>
      </c>
      <c r="I5" s="358">
        <f>B5-$G$3</f>
        <v>4</v>
      </c>
      <c r="J5" s="358">
        <f>C5-$G$4</f>
        <v>-7.6000000000000014</v>
      </c>
    </row>
    <row r="6" spans="1:10">
      <c r="A6" s="357">
        <v>23</v>
      </c>
      <c r="B6" s="357">
        <v>41</v>
      </c>
      <c r="C6" s="357">
        <v>35</v>
      </c>
      <c r="H6" s="358">
        <f>A6-$G$2</f>
        <v>1.8000000000000007</v>
      </c>
      <c r="I6" s="358">
        <f>B6-$G$3</f>
        <v>12</v>
      </c>
      <c r="J6" s="358">
        <f>C6-$G$4</f>
        <v>6.3999999999999986</v>
      </c>
    </row>
    <row r="7" spans="1:10">
      <c r="A7" s="357">
        <v>33</v>
      </c>
      <c r="B7" s="357">
        <v>28</v>
      </c>
      <c r="C7" s="357">
        <v>22</v>
      </c>
      <c r="H7" s="358">
        <f>A7-$G$2</f>
        <v>11.8</v>
      </c>
      <c r="I7" s="358">
        <f>B7-$G$3</f>
        <v>-1</v>
      </c>
      <c r="J7" s="358">
        <f>C7-$G$4</f>
        <v>-6.6000000000000014</v>
      </c>
    </row>
    <row r="10" spans="1:10" ht="15" thickBot="1">
      <c r="A10" s="369" t="s">
        <v>5452</v>
      </c>
      <c r="B10" s="369"/>
      <c r="C10" s="369"/>
      <c r="D10" s="369"/>
      <c r="G10" s="369" t="s">
        <v>5451</v>
      </c>
      <c r="H10" s="369"/>
      <c r="I10" s="369"/>
      <c r="J10" s="369"/>
    </row>
    <row r="11" spans="1:10">
      <c r="A11" s="245"/>
      <c r="B11" s="245" t="s">
        <v>3511</v>
      </c>
      <c r="C11" s="245" t="s">
        <v>3512</v>
      </c>
      <c r="D11" s="245" t="s">
        <v>1760</v>
      </c>
      <c r="E11" s="360"/>
      <c r="G11" s="245"/>
      <c r="H11" s="245" t="s">
        <v>3511</v>
      </c>
      <c r="I11" s="245" t="s">
        <v>3512</v>
      </c>
      <c r="J11" s="245" t="s">
        <v>1760</v>
      </c>
    </row>
    <row r="12" spans="1:10">
      <c r="A12" t="s">
        <v>3511</v>
      </c>
      <c r="B12" s="317">
        <f>VARP('CovMat_Example 3'!$A$3:$A$7)</f>
        <v>64.16</v>
      </c>
      <c r="C12" s="317"/>
      <c r="D12" s="317"/>
      <c r="G12" t="s">
        <v>3511</v>
      </c>
      <c r="H12" s="6">
        <f>(H3*H3+H4*H4+H5*H5+H6*H6+H7*H7)/G5</f>
        <v>64.16</v>
      </c>
      <c r="I12" s="6">
        <f>(H3*I3+H4*I4+H5*I5+H6*I6+H7*I8)/G5</f>
        <v>32.96</v>
      </c>
      <c r="J12" s="6">
        <f>(H3*J3+H4*J4+H5*J5+H6*J6+H7*J7)/G5</f>
        <v>-26.119999999999997</v>
      </c>
    </row>
    <row r="13" spans="1:10">
      <c r="A13" t="s">
        <v>3512</v>
      </c>
      <c r="B13" s="317">
        <v>30.6</v>
      </c>
      <c r="C13" s="317">
        <f>VARP('CovMat_Example 3'!$B$3:$B$7)</f>
        <v>77.2</v>
      </c>
      <c r="D13" s="317"/>
      <c r="G13" t="s">
        <v>3512</v>
      </c>
      <c r="H13" s="6">
        <f>(H3*I3+H4*I4+H5*I5+H6*I6+H7*I7)/G5</f>
        <v>30.6</v>
      </c>
      <c r="I13" s="6">
        <f>(I3*I3+I4*I4+I5*I5+I6*I6+I7*I7)/G5</f>
        <v>77.2</v>
      </c>
      <c r="J13" s="6">
        <f>(I3*J3+I4*J4+I5*J5+I6*J6+I7*J7)/G5</f>
        <v>-17.600000000000001</v>
      </c>
    </row>
    <row r="14" spans="1:10" ht="15" thickBot="1">
      <c r="A14" s="169" t="s">
        <v>1760</v>
      </c>
      <c r="B14" s="363">
        <v>-26.119999999999997</v>
      </c>
      <c r="C14" s="363">
        <v>-17.600000000000001</v>
      </c>
      <c r="D14" s="363">
        <f>VARP('CovMat_Example 3'!$C$3:$C$7)</f>
        <v>46.64</v>
      </c>
      <c r="G14" t="s">
        <v>1760</v>
      </c>
      <c r="H14" s="6">
        <f>(H3*J3+H4*J4+H5*J5+H6*J6+H7*J7)/G5</f>
        <v>-26.119999999999997</v>
      </c>
      <c r="I14" s="359">
        <f>(I3*J3+I4*J4+I5*J5+I6*J6+I7*J7)/G5</f>
        <v>-17.600000000000001</v>
      </c>
      <c r="J14" s="359">
        <f>(J3*J3+J4*J4+J5*J5+J6*J6+J7*J7)/G5</f>
        <v>46.64</v>
      </c>
    </row>
    <row r="15" spans="1:10">
      <c r="G15" s="362"/>
      <c r="H15" s="362"/>
      <c r="I15" s="362"/>
      <c r="J15" s="362"/>
    </row>
  </sheetData>
  <mergeCells count="4">
    <mergeCell ref="A1:C1"/>
    <mergeCell ref="A10:D10"/>
    <mergeCell ref="G10:J10"/>
    <mergeCell ref="F1:J1"/>
  </mergeCells>
  <pageMargins left="0.7" right="0.7" top="0.75" bottom="0.75" header="0.3" footer="0.3"/>
  <pageSetup orientation="portrait" horizontalDpi="4294967293" verticalDpi="0" r:id="rId1"/>
  <ignoredErrors>
    <ignoredError sqref="H13" formula="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E0FB-926C-4540-8502-7533C7D547A1}">
  <dimension ref="A2:I15"/>
  <sheetViews>
    <sheetView showGridLines="0" zoomScaleNormal="100" workbookViewId="0">
      <selection activeCell="E18" sqref="E18"/>
    </sheetView>
  </sheetViews>
  <sheetFormatPr defaultRowHeight="14.4"/>
  <cols>
    <col min="1" max="1" width="11.109375" bestFit="1" customWidth="1"/>
    <col min="2" max="2" width="9" customWidth="1"/>
    <col min="3" max="3" width="7.5546875" customWidth="1"/>
    <col min="4" max="4" width="8.44140625" customWidth="1"/>
    <col min="5" max="5" width="17.109375" customWidth="1"/>
    <col min="7" max="9" width="12" bestFit="1" customWidth="1"/>
  </cols>
  <sheetData>
    <row r="2" spans="1:9" ht="15" thickBot="1">
      <c r="A2" s="369" t="s">
        <v>670</v>
      </c>
      <c r="B2" s="371" t="s">
        <v>5460</v>
      </c>
      <c r="C2" s="372"/>
      <c r="D2" s="373"/>
      <c r="F2" s="369" t="s">
        <v>5432</v>
      </c>
      <c r="G2" s="369"/>
      <c r="H2" s="369"/>
      <c r="I2" s="369"/>
    </row>
    <row r="3" spans="1:9">
      <c r="A3" s="369"/>
      <c r="B3" s="1" t="s">
        <v>4192</v>
      </c>
      <c r="C3" s="1" t="s">
        <v>4193</v>
      </c>
      <c r="D3" s="1" t="s">
        <v>5342</v>
      </c>
      <c r="F3" s="245"/>
      <c r="G3" s="245" t="s">
        <v>4192</v>
      </c>
      <c r="H3" s="245" t="s">
        <v>4193</v>
      </c>
      <c r="I3" s="245" t="s">
        <v>5342</v>
      </c>
    </row>
    <row r="4" spans="1:9" ht="15" thickBot="1">
      <c r="A4" s="20">
        <v>44835</v>
      </c>
      <c r="B4" s="361">
        <v>9.5399999999999999E-2</v>
      </c>
      <c r="C4" s="361">
        <v>9.98E-2</v>
      </c>
      <c r="D4" s="361">
        <v>8.3299999999999999E-2</v>
      </c>
      <c r="F4" t="s">
        <v>4192</v>
      </c>
      <c r="G4">
        <f>VARP(CovMat_FAQ!$B$4:$B$8)</f>
        <v>6.6849895999999999E-3</v>
      </c>
      <c r="H4">
        <v>3.4547694000000005E-3</v>
      </c>
      <c r="I4" s="169">
        <v>2.5162404E-3</v>
      </c>
    </row>
    <row r="5" spans="1:9" ht="15" thickBot="1">
      <c r="A5" s="20">
        <v>44836</v>
      </c>
      <c r="B5" s="361">
        <v>3.2800000000000003E-2</v>
      </c>
      <c r="C5" s="361">
        <v>4.2950000000000002E-2</v>
      </c>
      <c r="D5" s="361">
        <v>5.9200000000000003E-2</v>
      </c>
      <c r="F5" t="s">
        <v>4193</v>
      </c>
      <c r="G5">
        <v>3.4547694000000005E-3</v>
      </c>
      <c r="H5">
        <f>VARP(CovMat_FAQ!$C$4:$C$8)</f>
        <v>1.8764855999999985E-3</v>
      </c>
      <c r="I5" s="169">
        <v>1.4883396E-3</v>
      </c>
    </row>
    <row r="6" spans="1:9" ht="15" thickBot="1">
      <c r="A6" s="20">
        <v>44837</v>
      </c>
      <c r="B6" s="361">
        <v>-6.6299999999999998E-2</v>
      </c>
      <c r="C6" s="361">
        <v>1.84E-2</v>
      </c>
      <c r="D6" s="361">
        <v>9.3799999999999994E-2</v>
      </c>
      <c r="F6" s="169" t="s">
        <v>5342</v>
      </c>
      <c r="G6" s="169">
        <v>2.5162404E-3</v>
      </c>
      <c r="H6" s="169">
        <v>1.4883396E-3</v>
      </c>
      <c r="I6" s="169">
        <f>VARP(CovMat_FAQ!$D$4:$D$8)</f>
        <v>2.3724776000000002E-3</v>
      </c>
    </row>
    <row r="7" spans="1:9">
      <c r="A7" s="20">
        <v>44838</v>
      </c>
      <c r="B7" s="361">
        <v>7.85E-2</v>
      </c>
      <c r="C7" s="361">
        <v>8.2600000000000007E-2</v>
      </c>
      <c r="D7" s="361">
        <v>7.2700000000000001E-2</v>
      </c>
    </row>
    <row r="8" spans="1:9">
      <c r="A8" s="20">
        <v>44839</v>
      </c>
      <c r="B8" s="361">
        <v>0.1835</v>
      </c>
      <c r="C8" s="361">
        <v>0.1421</v>
      </c>
      <c r="D8" s="361">
        <v>0.1956</v>
      </c>
    </row>
    <row r="9" spans="1:9" ht="15" thickBot="1">
      <c r="F9" s="369" t="s">
        <v>5462</v>
      </c>
      <c r="G9" s="369"/>
      <c r="H9" s="369"/>
      <c r="I9" s="369"/>
    </row>
    <row r="10" spans="1:9">
      <c r="A10" s="1" t="s">
        <v>2788</v>
      </c>
      <c r="B10" s="2">
        <v>5</v>
      </c>
      <c r="F10" s="245"/>
      <c r="G10" s="245" t="s">
        <v>4192</v>
      </c>
      <c r="H10" s="245" t="s">
        <v>4193</v>
      </c>
      <c r="I10" s="245" t="s">
        <v>5342</v>
      </c>
    </row>
    <row r="11" spans="1:9">
      <c r="A11" s="1" t="s">
        <v>5461</v>
      </c>
      <c r="B11" s="2">
        <f>B10/(B10-1)</f>
        <v>1.25</v>
      </c>
      <c r="F11" t="s">
        <v>4192</v>
      </c>
      <c r="G11">
        <f t="array" ref="G11:I13">B11*G4:I6</f>
        <v>8.356236999999999E-3</v>
      </c>
      <c r="H11">
        <v>4.3184617500000005E-3</v>
      </c>
      <c r="I11">
        <v>3.1453004999999999E-3</v>
      </c>
    </row>
    <row r="12" spans="1:9">
      <c r="F12" t="s">
        <v>4193</v>
      </c>
      <c r="G12">
        <v>4.3184617500000005E-3</v>
      </c>
      <c r="H12">
        <v>2.3456069999999983E-3</v>
      </c>
      <c r="I12">
        <v>1.8604245E-3</v>
      </c>
    </row>
    <row r="13" spans="1:9">
      <c r="F13" t="s">
        <v>5342</v>
      </c>
      <c r="G13">
        <v>3.1453004999999999E-3</v>
      </c>
      <c r="H13">
        <v>1.8604245E-3</v>
      </c>
      <c r="I13">
        <v>2.9655970000000004E-3</v>
      </c>
    </row>
    <row r="14" spans="1:9">
      <c r="F14" s="362"/>
      <c r="G14" s="362"/>
      <c r="H14" s="362"/>
      <c r="I14" s="362"/>
    </row>
    <row r="15" spans="1:9" ht="28.8">
      <c r="F15" s="8" t="s">
        <v>4893</v>
      </c>
      <c r="G15" s="47">
        <f>_xlfn.VAR.S(B4:B8)</f>
        <v>8.356236999999999E-3</v>
      </c>
      <c r="H15" s="47">
        <f>_xlfn.VAR.S(C4:C8)</f>
        <v>2.3456069999999987E-3</v>
      </c>
      <c r="I15" s="47">
        <f>_xlfn.VAR.S(D4:D8)</f>
        <v>2.9655969999999986E-3</v>
      </c>
    </row>
  </sheetData>
  <mergeCells count="4">
    <mergeCell ref="A2:A3"/>
    <mergeCell ref="B2:D2"/>
    <mergeCell ref="F2:I2"/>
    <mergeCell ref="F9:I9"/>
  </mergeCells>
  <pageMargins left="0.7" right="0.7" top="0.75" bottom="0.75" header="0.3" footer="0.3"/>
  <pageSetup orientation="portrait" horizontalDpi="4294967293"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5D7C-D26A-42C8-A989-58760786BE67}">
  <sheetPr codeName="Sheet431"/>
  <dimension ref="A1"/>
  <sheetViews>
    <sheetView workbookViewId="0"/>
  </sheetViews>
  <sheetFormatPr defaultRowHeight="14.4"/>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CAA4A-7AE1-426E-93FF-589D3E6DC011}">
  <sheetPr codeName="Sheet53"/>
  <dimension ref="A1:G6"/>
  <sheetViews>
    <sheetView workbookViewId="0">
      <selection activeCell="G18" sqref="G18"/>
    </sheetView>
  </sheetViews>
  <sheetFormatPr defaultRowHeight="14.4"/>
  <cols>
    <col min="5" max="5" width="10.109375" bestFit="1" customWidth="1"/>
    <col min="6" max="6" width="11.44140625" bestFit="1" customWidth="1"/>
  </cols>
  <sheetData>
    <row r="1" spans="1:7">
      <c r="A1" s="1" t="s">
        <v>340</v>
      </c>
      <c r="B1" s="1" t="s">
        <v>341</v>
      </c>
      <c r="C1" s="1" t="s">
        <v>342</v>
      </c>
      <c r="D1" s="1" t="s">
        <v>343</v>
      </c>
      <c r="E1" s="1" t="s">
        <v>344</v>
      </c>
      <c r="F1" s="1" t="s">
        <v>345</v>
      </c>
      <c r="G1" s="1" t="s">
        <v>346</v>
      </c>
    </row>
    <row r="2" spans="1:7">
      <c r="A2" s="2">
        <v>30000</v>
      </c>
      <c r="B2" s="2">
        <v>31900</v>
      </c>
      <c r="C2" s="2">
        <v>35000</v>
      </c>
      <c r="D2" s="2">
        <v>30320</v>
      </c>
      <c r="E2" s="2">
        <v>31820</v>
      </c>
      <c r="F2" s="2">
        <v>34320</v>
      </c>
      <c r="G2" s="2">
        <v>36820</v>
      </c>
    </row>
    <row r="3" spans="1:7">
      <c r="A3" s="2">
        <v>25400</v>
      </c>
      <c r="B3" s="2">
        <v>29100</v>
      </c>
      <c r="C3" s="2">
        <v>30430</v>
      </c>
      <c r="D3" s="2">
        <v>25820</v>
      </c>
      <c r="E3" s="2">
        <v>27120</v>
      </c>
      <c r="F3" s="2">
        <v>29020</v>
      </c>
      <c r="G3" s="2">
        <v>30820</v>
      </c>
    </row>
    <row r="4" spans="1:7">
      <c r="A4" s="2">
        <v>31000</v>
      </c>
      <c r="B4" s="2">
        <v>34350</v>
      </c>
      <c r="C4" s="2">
        <v>31290</v>
      </c>
      <c r="D4" s="2">
        <v>31900</v>
      </c>
      <c r="E4" s="2">
        <v>33900</v>
      </c>
      <c r="F4" s="2">
        <v>34000</v>
      </c>
      <c r="G4" s="2">
        <v>35000</v>
      </c>
    </row>
    <row r="5" spans="1:7">
      <c r="A5" s="2">
        <v>15000</v>
      </c>
      <c r="B5" s="2">
        <v>28560</v>
      </c>
      <c r="C5" s="2">
        <v>29180</v>
      </c>
      <c r="D5" s="2">
        <v>16000</v>
      </c>
      <c r="E5" s="2">
        <v>18000</v>
      </c>
      <c r="F5" s="2">
        <v>21500</v>
      </c>
      <c r="G5" s="2">
        <v>23800</v>
      </c>
    </row>
    <row r="6" spans="1:7">
      <c r="A6" s="2">
        <v>23420</v>
      </c>
      <c r="B6" s="2">
        <v>27830</v>
      </c>
      <c r="C6" s="2">
        <v>32550</v>
      </c>
      <c r="D6" s="2">
        <v>24820</v>
      </c>
      <c r="E6" s="2">
        <v>28320</v>
      </c>
      <c r="F6" s="2">
        <v>31720</v>
      </c>
      <c r="G6" s="2">
        <v>33220</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3CE6-19CE-44AF-9429-B06526377768}">
  <sheetPr codeName="Sheet13"/>
  <dimension ref="A1:C9"/>
  <sheetViews>
    <sheetView workbookViewId="0">
      <selection activeCell="J6" sqref="J6"/>
    </sheetView>
  </sheetViews>
  <sheetFormatPr defaultRowHeight="14.4"/>
  <cols>
    <col min="1" max="1" width="16.5546875" bestFit="1" customWidth="1"/>
    <col min="2" max="2" width="20.88671875" bestFit="1" customWidth="1"/>
    <col min="3" max="3" width="15.44140625" bestFit="1" customWidth="1"/>
  </cols>
  <sheetData>
    <row r="1" spans="1:3">
      <c r="A1" s="1" t="s">
        <v>97</v>
      </c>
      <c r="B1" s="1" t="s">
        <v>104</v>
      </c>
      <c r="C1" s="1" t="s">
        <v>103</v>
      </c>
    </row>
    <row r="2" spans="1:3">
      <c r="A2" s="2" t="s">
        <v>98</v>
      </c>
      <c r="B2" s="2">
        <v>55</v>
      </c>
      <c r="C2" s="2">
        <v>20</v>
      </c>
    </row>
    <row r="3" spans="1:3">
      <c r="A3" s="2" t="s">
        <v>99</v>
      </c>
      <c r="B3" s="2">
        <v>65</v>
      </c>
      <c r="C3" s="2">
        <v>25</v>
      </c>
    </row>
    <row r="4" spans="1:3">
      <c r="A4" s="2" t="s">
        <v>100</v>
      </c>
      <c r="B4" s="2">
        <v>75</v>
      </c>
      <c r="C4" s="2">
        <v>25</v>
      </c>
    </row>
    <row r="5" spans="1:3">
      <c r="A5" s="2" t="s">
        <v>101</v>
      </c>
      <c r="B5" s="2">
        <v>60</v>
      </c>
      <c r="C5" s="2">
        <v>20</v>
      </c>
    </row>
    <row r="6" spans="1:3">
      <c r="A6" s="2" t="s">
        <v>102</v>
      </c>
      <c r="B6" s="2">
        <v>71</v>
      </c>
      <c r="C6" s="2">
        <v>25</v>
      </c>
    </row>
    <row r="7" spans="1:3">
      <c r="A7" s="1" t="s">
        <v>105</v>
      </c>
      <c r="C7" s="7">
        <f t="array" ref="C7">AVERAGE(B2:B6+C2:C6)</f>
        <v>88.2</v>
      </c>
    </row>
    <row r="9" spans="1:3">
      <c r="A9" s="1" t="s">
        <v>106</v>
      </c>
      <c r="B9" s="7">
        <f t="array" ref="B9">AVERAGE(B2:B6+C2:C6)</f>
        <v>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747</vt:i4>
      </vt:variant>
      <vt:variant>
        <vt:lpstr>Named Ranges</vt:lpstr>
      </vt:variant>
      <vt:variant>
        <vt:i4>5</vt:i4>
      </vt:variant>
    </vt:vector>
  </HeadingPairs>
  <TitlesOfParts>
    <vt:vector size="752" baseType="lpstr">
      <vt:lpstr>CSV_Example</vt:lpstr>
      <vt:lpstr>CSV Convert_1</vt:lpstr>
      <vt:lpstr>CSV Convert_UTF-8</vt:lpstr>
      <vt:lpstr>CSV Convert_UTF-16</vt:lpstr>
      <vt:lpstr>Array_Example</vt:lpstr>
      <vt:lpstr>Array_Use</vt:lpstr>
      <vt:lpstr>Array_Example 1</vt:lpstr>
      <vt:lpstr>Array_Example 2</vt:lpstr>
      <vt:lpstr>Array_Example 3</vt:lpstr>
      <vt:lpstr>Array_Evaluation</vt:lpstr>
      <vt:lpstr>Sheet1</vt:lpstr>
      <vt:lpstr>Show Formula_How</vt:lpstr>
      <vt:lpstr>Show Formula_Shortcut</vt:lpstr>
      <vt:lpstr>Show Formula_Enable</vt:lpstr>
      <vt:lpstr>Show Formula_Print</vt:lpstr>
      <vt:lpstr>Show Formula_Hide</vt:lpstr>
      <vt:lpstr>Header And Footer_Example</vt:lpstr>
      <vt:lpstr>Header And Footer_Add</vt:lpstr>
      <vt:lpstr>Header And Footer_Remove</vt:lpstr>
      <vt:lpstr>Header And Footer_Custom</vt:lpstr>
      <vt:lpstr>Header And Footer_Page Number</vt:lpstr>
      <vt:lpstr>Header And Footer_FAQ</vt:lpstr>
      <vt:lpstr>Waterfall Chart_Example</vt:lpstr>
      <vt:lpstr>Waterfall Chart_Create</vt:lpstr>
      <vt:lpstr>Waterfall Chart_Example 1</vt:lpstr>
      <vt:lpstr>Waterfall Chart_Example 2</vt:lpstr>
      <vt:lpstr>Pivot Chart_Example</vt:lpstr>
      <vt:lpstr>Pivot Chart_Create_Result</vt:lpstr>
      <vt:lpstr>Pivot Chart_Create</vt:lpstr>
      <vt:lpstr>Pivot Chart_Example 1_Result</vt:lpstr>
      <vt:lpstr>Pivot Chart_Example 1</vt:lpstr>
      <vt:lpstr>Pivot Chart_Example 2_Result</vt:lpstr>
      <vt:lpstr>Pivot Chart_Example 2</vt:lpstr>
      <vt:lpstr>Pivot Chart_Edit Result</vt:lpstr>
      <vt:lpstr>Pivot Chart_Edit</vt:lpstr>
      <vt:lpstr>Pivot Chart_FAQ</vt:lpstr>
      <vt:lpstr>Barcode_Example</vt:lpstr>
      <vt:lpstr>Barcode_Generate</vt:lpstr>
      <vt:lpstr>Barcode_Generate_Formual</vt:lpstr>
      <vt:lpstr>Barcode_Example 1</vt:lpstr>
      <vt:lpstr>Barcode_Example 2</vt:lpstr>
      <vt:lpstr>Barcode_Example 3</vt:lpstr>
      <vt:lpstr>Pareto Chart_Example</vt:lpstr>
      <vt:lpstr>Pareto Chart_Create</vt:lpstr>
      <vt:lpstr>Pareto Chart_ Create_1</vt:lpstr>
      <vt:lpstr>Pareto Chart_Dynamic</vt:lpstr>
      <vt:lpstr>Change Case_Example</vt:lpstr>
      <vt:lpstr>Change Case_Lower to Upper</vt:lpstr>
      <vt:lpstr>Change Case_Upper to Lower</vt:lpstr>
      <vt:lpstr>Change Case_Title Case</vt:lpstr>
      <vt:lpstr>Change Case_Flash Fill</vt:lpstr>
      <vt:lpstr>Change Case_Shortcut</vt:lpstr>
      <vt:lpstr>Change Case_FAQ</vt:lpstr>
      <vt:lpstr>TEXT()_Example</vt:lpstr>
      <vt:lpstr>TEXT()_Use</vt:lpstr>
      <vt:lpstr>Text()_Codes</vt:lpstr>
      <vt:lpstr>TEXT()_Example1</vt:lpstr>
      <vt:lpstr>TEXT()_Example2</vt:lpstr>
      <vt:lpstr>TEXT()_Example 3</vt:lpstr>
      <vt:lpstr>TEXT()_Example 4</vt:lpstr>
      <vt:lpstr>TEXT()_Example 5</vt:lpstr>
      <vt:lpstr>TEXT()_Example 6</vt:lpstr>
      <vt:lpstr>Greater_Equal_Example</vt:lpstr>
      <vt:lpstr>Greater_Equal_Use</vt:lpstr>
      <vt:lpstr>Greater_Equal_If</vt:lpstr>
      <vt:lpstr>Greater_Equal_COUNTIF</vt:lpstr>
      <vt:lpstr>Greater_Equal_SUMIF</vt:lpstr>
      <vt:lpstr>Greater_Equal_FAQ</vt:lpstr>
      <vt:lpstr>CHOOSE_Example</vt:lpstr>
      <vt:lpstr>CHOOSE_Use</vt:lpstr>
      <vt:lpstr>CHOOSE_Nested IFs</vt:lpstr>
      <vt:lpstr>CHOOSE_Arrays</vt:lpstr>
      <vt:lpstr>CHOOSE_Random</vt:lpstr>
      <vt:lpstr>CHOOSE_VLOOKUP</vt:lpstr>
      <vt:lpstr>CHOOSE_Month</vt:lpstr>
      <vt:lpstr>CHOOSE_FAQ</vt:lpstr>
      <vt:lpstr>Name Box_Example</vt:lpstr>
      <vt:lpstr>Name Box_Use 1</vt:lpstr>
      <vt:lpstr>Name Box_Use 2</vt:lpstr>
      <vt:lpstr>Name Box_Use 3</vt:lpstr>
      <vt:lpstr>Name Box_Use 4</vt:lpstr>
      <vt:lpstr>Name Box_Use 5</vt:lpstr>
      <vt:lpstr>Name Box_Use 6</vt:lpstr>
      <vt:lpstr>Name Box_Use 7</vt:lpstr>
      <vt:lpstr>Name Box_Edit</vt:lpstr>
      <vt:lpstr>FREQ_Example</vt:lpstr>
      <vt:lpstr>FREQ_Use</vt:lpstr>
      <vt:lpstr>FREQ_Example1</vt:lpstr>
      <vt:lpstr>FREQ_Example2</vt:lpstr>
      <vt:lpstr>FREQ_Example3</vt:lpstr>
      <vt:lpstr>FREQ_FAQ</vt:lpstr>
      <vt:lpstr>RANK_Example</vt:lpstr>
      <vt:lpstr>RANK_Use</vt:lpstr>
      <vt:lpstr>RANK_Example1</vt:lpstr>
      <vt:lpstr>RANK_Example 2</vt:lpstr>
      <vt:lpstr>RANK_Example 3</vt:lpstr>
      <vt:lpstr>RANK_FAQ</vt:lpstr>
      <vt:lpstr>RIGHT_Example</vt:lpstr>
      <vt:lpstr>RIGHT_Use</vt:lpstr>
      <vt:lpstr>RIGHT_Example1</vt:lpstr>
      <vt:lpstr>RIGHT_Example2</vt:lpstr>
      <vt:lpstr>RIGHT_Example3</vt:lpstr>
      <vt:lpstr>RIGHT_Example4</vt:lpstr>
      <vt:lpstr>RIGHT_Example5</vt:lpstr>
      <vt:lpstr>RIGHT_FAQ</vt:lpstr>
      <vt:lpstr>EOMONTH_Example</vt:lpstr>
      <vt:lpstr>EOMONTH_Use</vt:lpstr>
      <vt:lpstr>EOMONTH_Example1</vt:lpstr>
      <vt:lpstr>EOMONTH_Example 2</vt:lpstr>
      <vt:lpstr>EOMONTH_Example 3</vt:lpstr>
      <vt:lpstr>EOMONTH_FAQ</vt:lpstr>
      <vt:lpstr>FORECAST_Example</vt:lpstr>
      <vt:lpstr>FORECAST_Use</vt:lpstr>
      <vt:lpstr>FORECAST_Example 1</vt:lpstr>
      <vt:lpstr>FORECAST_Example 2</vt:lpstr>
      <vt:lpstr>MEDIAN_Example</vt:lpstr>
      <vt:lpstr>MEDIAN_Use</vt:lpstr>
      <vt:lpstr>MEDIAN_Example 1</vt:lpstr>
      <vt:lpstr>MEDIAN_Example 2</vt:lpstr>
      <vt:lpstr>MEDIAN_Example 3</vt:lpstr>
      <vt:lpstr>MEDIAN_FAQ</vt:lpstr>
      <vt:lpstr>NOW_Example</vt:lpstr>
      <vt:lpstr>NOW_Use</vt:lpstr>
      <vt:lpstr>NOW_Example 1</vt:lpstr>
      <vt:lpstr>NOW_Example 2</vt:lpstr>
      <vt:lpstr>NOW_Example 3</vt:lpstr>
      <vt:lpstr>NOW_FAQ</vt:lpstr>
      <vt:lpstr>PMT_Example</vt:lpstr>
      <vt:lpstr>PMT_Use</vt:lpstr>
      <vt:lpstr>PMT_Example 1</vt:lpstr>
      <vt:lpstr>PMT Example 2</vt:lpstr>
      <vt:lpstr>PMT Example 3</vt:lpstr>
      <vt:lpstr>PMT_FAQ</vt:lpstr>
      <vt:lpstr>ROW_Example</vt:lpstr>
      <vt:lpstr>ROW_Use</vt:lpstr>
      <vt:lpstr>ROW_Example 1</vt:lpstr>
      <vt:lpstr>ROW_Example 2</vt:lpstr>
      <vt:lpstr>ROW_Example 3</vt:lpstr>
      <vt:lpstr>ROW_FAQ</vt:lpstr>
      <vt:lpstr>AGG_Example</vt:lpstr>
      <vt:lpstr>Formulas</vt:lpstr>
      <vt:lpstr>AGG_Use</vt:lpstr>
      <vt:lpstr>AGG_Example 1</vt:lpstr>
      <vt:lpstr>AGG_Example 2</vt:lpstr>
      <vt:lpstr>AGG_Example 3</vt:lpstr>
      <vt:lpstr>AGG_FAQ</vt:lpstr>
      <vt:lpstr>CEILING_Example</vt:lpstr>
      <vt:lpstr>CEILING_Use</vt:lpstr>
      <vt:lpstr>CEILING_Example 1</vt:lpstr>
      <vt:lpstr>CEILING_Example 2</vt:lpstr>
      <vt:lpstr>CEILING_Example 3</vt:lpstr>
      <vt:lpstr>CEILING_FAQ</vt:lpstr>
      <vt:lpstr>LARGE_Example</vt:lpstr>
      <vt:lpstr>LARGE_Use</vt:lpstr>
      <vt:lpstr>LARGE_Example 1</vt:lpstr>
      <vt:lpstr>LARGE_Example 2</vt:lpstr>
      <vt:lpstr>LARGE_Example 3</vt:lpstr>
      <vt:lpstr>LARGE_FAQ</vt:lpstr>
      <vt:lpstr>SUBSTITUTE_Example</vt:lpstr>
      <vt:lpstr>SUBSTITUTE_Use</vt:lpstr>
      <vt:lpstr>SUBSTITUTE_Example 1</vt:lpstr>
      <vt:lpstr>SUBSTITUTE_Example 2</vt:lpstr>
      <vt:lpstr>SUBSTITUTE_Example 3</vt:lpstr>
      <vt:lpstr>SUBSTITUTE_FAQ</vt:lpstr>
      <vt:lpstr>WORKDAY_Example</vt:lpstr>
      <vt:lpstr>WORKDAY_Use</vt:lpstr>
      <vt:lpstr>WORKDAY_Example 1</vt:lpstr>
      <vt:lpstr>WORKDAY_Example 2</vt:lpstr>
      <vt:lpstr>WORKDAY_Example 3</vt:lpstr>
      <vt:lpstr>WORKDAY_FAQ</vt:lpstr>
      <vt:lpstr>MROUND_Example</vt:lpstr>
      <vt:lpstr>MROUND_Use</vt:lpstr>
      <vt:lpstr>MROUND_Example 1</vt:lpstr>
      <vt:lpstr>MROUND_Example 2</vt:lpstr>
      <vt:lpstr>MROUND_Example 3</vt:lpstr>
      <vt:lpstr>MROUND_FAQ</vt:lpstr>
      <vt:lpstr>POWER_Example</vt:lpstr>
      <vt:lpstr>POWER_Use</vt:lpstr>
      <vt:lpstr>POWER_Example 1</vt:lpstr>
      <vt:lpstr>POWER_Example 2</vt:lpstr>
      <vt:lpstr>POWER_Example 3</vt:lpstr>
      <vt:lpstr>POWER_FAQ 1</vt:lpstr>
      <vt:lpstr>POWER_FAQ 2</vt:lpstr>
      <vt:lpstr>CHAR_Example</vt:lpstr>
      <vt:lpstr>CHAR_Use</vt:lpstr>
      <vt:lpstr>CHAR_Example 1</vt:lpstr>
      <vt:lpstr>CHAR_Example 2</vt:lpstr>
      <vt:lpstr>CHAR_Example 3</vt:lpstr>
      <vt:lpstr>CHAR_FAQ 1</vt:lpstr>
      <vt:lpstr>CHAR_FAQ 2</vt:lpstr>
      <vt:lpstr>COLUMN_Example</vt:lpstr>
      <vt:lpstr>COLUMN_Use</vt:lpstr>
      <vt:lpstr>COLUMN_Example 1</vt:lpstr>
      <vt:lpstr>COLUMN_Example 2</vt:lpstr>
      <vt:lpstr>COLUMN_Example 3</vt:lpstr>
      <vt:lpstr>COLUMN_FAQ</vt:lpstr>
      <vt:lpstr>CLEAN_Example</vt:lpstr>
      <vt:lpstr>CLEAN_Use</vt:lpstr>
      <vt:lpstr>CLEAN_Example 1</vt:lpstr>
      <vt:lpstr>CLEAN_Example 2</vt:lpstr>
      <vt:lpstr>CLEAN_Example 3</vt:lpstr>
      <vt:lpstr>CLEAN_FAQ</vt:lpstr>
      <vt:lpstr>EDATE_Example</vt:lpstr>
      <vt:lpstr>EDATE_Use</vt:lpstr>
      <vt:lpstr>EDATE_Example 1</vt:lpstr>
      <vt:lpstr>EDATE_Example 2</vt:lpstr>
      <vt:lpstr>EDATE_Example 3</vt:lpstr>
      <vt:lpstr>EDATE_FAQ</vt:lpstr>
      <vt:lpstr>MODE_Example</vt:lpstr>
      <vt:lpstr>MODE_Use</vt:lpstr>
      <vt:lpstr>MODE_Example 1</vt:lpstr>
      <vt:lpstr>MODE_Example 2</vt:lpstr>
      <vt:lpstr>MODE_Example 3</vt:lpstr>
      <vt:lpstr>MODE_FAQ</vt:lpstr>
      <vt:lpstr>SWITCH_Example</vt:lpstr>
      <vt:lpstr>SWITCH_Use</vt:lpstr>
      <vt:lpstr>SWITCH_Example 1</vt:lpstr>
      <vt:lpstr>SWITCH_Example 2</vt:lpstr>
      <vt:lpstr>SWITCH_Example 3</vt:lpstr>
      <vt:lpstr>SWITCH_FAQ</vt:lpstr>
      <vt:lpstr>XOR_Example</vt:lpstr>
      <vt:lpstr>XOR_Use</vt:lpstr>
      <vt:lpstr>XOR_Example 1</vt:lpstr>
      <vt:lpstr>XOR_Example 2</vt:lpstr>
      <vt:lpstr>XOR_Example 3</vt:lpstr>
      <vt:lpstr>XOR_FAQ</vt:lpstr>
      <vt:lpstr>ISERROR_Example</vt:lpstr>
      <vt:lpstr>ISERROR_Use</vt:lpstr>
      <vt:lpstr>ISERROR_Example 1</vt:lpstr>
      <vt:lpstr>ISERROR_Example 2</vt:lpstr>
      <vt:lpstr>ISERROR_Example 3</vt:lpstr>
      <vt:lpstr>ISERROR_FAQ 1</vt:lpstr>
      <vt:lpstr>ISERROR_FAQ 2</vt:lpstr>
      <vt:lpstr>NETWORKDAYS_Example</vt:lpstr>
      <vt:lpstr>NETWORKDAYS_Use</vt:lpstr>
      <vt:lpstr>NETWORKDAYS_Example 1</vt:lpstr>
      <vt:lpstr>NETWORKDAYS_Example 2</vt:lpstr>
      <vt:lpstr>NETWORKDAYS_Example 3</vt:lpstr>
      <vt:lpstr>NETWORKDAYS_FAQ</vt:lpstr>
      <vt:lpstr>PERCENTILE_Example</vt:lpstr>
      <vt:lpstr>PERCENTILE_Use</vt:lpstr>
      <vt:lpstr>PERCENTILE_Example 1</vt:lpstr>
      <vt:lpstr>PERCENTILE_Example 2</vt:lpstr>
      <vt:lpstr>PERCENTILE_Example 3</vt:lpstr>
      <vt:lpstr>PERCENTILE_FAQ1</vt:lpstr>
      <vt:lpstr>PERCENTILE_FAQ2</vt:lpstr>
      <vt:lpstr>ROUNDDOWN_Example</vt:lpstr>
      <vt:lpstr>ROUNDDOWN_Use</vt:lpstr>
      <vt:lpstr>ROUNDDOWN_Example 1</vt:lpstr>
      <vt:lpstr>ROUNDDOWN_Example 2</vt:lpstr>
      <vt:lpstr>ROUNDDOWN_Example 3</vt:lpstr>
      <vt:lpstr>ROUNDDOWN_FAQ</vt:lpstr>
      <vt:lpstr>ISNA_Example</vt:lpstr>
      <vt:lpstr>ISNA_Use</vt:lpstr>
      <vt:lpstr>ISNA_Example 1</vt:lpstr>
      <vt:lpstr>ISNA_Example 2</vt:lpstr>
      <vt:lpstr>ISNA_Example 3</vt:lpstr>
      <vt:lpstr>ISNA_FAQ</vt:lpstr>
      <vt:lpstr>MIRR_Example</vt:lpstr>
      <vt:lpstr>MIRR_Use</vt:lpstr>
      <vt:lpstr>MIRR_Example 1</vt:lpstr>
      <vt:lpstr>MIRR_Example 2</vt:lpstr>
      <vt:lpstr>MIRR_Example 3</vt:lpstr>
      <vt:lpstr>MIRR_FAQ</vt:lpstr>
      <vt:lpstr>CONVERT_Example</vt:lpstr>
      <vt:lpstr>Units</vt:lpstr>
      <vt:lpstr>CONVERT_Use</vt:lpstr>
      <vt:lpstr>CONVERT_Example 1</vt:lpstr>
      <vt:lpstr>CONVERT_Example 2</vt:lpstr>
      <vt:lpstr>CONVERT_Example 3</vt:lpstr>
      <vt:lpstr>CONVERT_FAQ 1</vt:lpstr>
      <vt:lpstr>REPT_Example</vt:lpstr>
      <vt:lpstr>REPT_Use</vt:lpstr>
      <vt:lpstr>REPT_Example 1</vt:lpstr>
      <vt:lpstr>REPT_Example 2</vt:lpstr>
      <vt:lpstr>REPT_Example 3</vt:lpstr>
      <vt:lpstr>REPT_FAQ 1</vt:lpstr>
      <vt:lpstr>PRICE_Example</vt:lpstr>
      <vt:lpstr>Freq and basis</vt:lpstr>
      <vt:lpstr>PRICE_Use</vt:lpstr>
      <vt:lpstr>PRICE_Example 1</vt:lpstr>
      <vt:lpstr>PRICE_Example 2</vt:lpstr>
      <vt:lpstr>PRICE_Example 3</vt:lpstr>
      <vt:lpstr>PRICE_FAQ</vt:lpstr>
      <vt:lpstr>GROWTH_Example</vt:lpstr>
      <vt:lpstr>GROWTH_Use</vt:lpstr>
      <vt:lpstr>GROWTH_Example 1</vt:lpstr>
      <vt:lpstr>GROWTH_Example 2</vt:lpstr>
      <vt:lpstr>GROWTH_Example 3</vt:lpstr>
      <vt:lpstr>GROWTH_FAQ 1</vt:lpstr>
      <vt:lpstr>AVERAGEIF_Example</vt:lpstr>
      <vt:lpstr>AVERAGEIF_Use</vt:lpstr>
      <vt:lpstr>AVERAGEIF_Example 1</vt:lpstr>
      <vt:lpstr>AVERAGEIF_Example 2</vt:lpstr>
      <vt:lpstr>AVERAGEIF_Example 3</vt:lpstr>
      <vt:lpstr>AVERAGEIF_FAQ 1</vt:lpstr>
      <vt:lpstr>AVERAGEIF_FAQ 2</vt:lpstr>
      <vt:lpstr>NPER_Example</vt:lpstr>
      <vt:lpstr>Installments</vt:lpstr>
      <vt:lpstr>NPER_Use</vt:lpstr>
      <vt:lpstr>NPER_Example 1</vt:lpstr>
      <vt:lpstr>NPER_Example 2</vt:lpstr>
      <vt:lpstr>NPER_Example 3</vt:lpstr>
      <vt:lpstr>NPER_FAQ</vt:lpstr>
      <vt:lpstr>MMULT_Example</vt:lpstr>
      <vt:lpstr>MMULT_Use</vt:lpstr>
      <vt:lpstr>MMULT_Example 1</vt:lpstr>
      <vt:lpstr>MMULT_Example 2</vt:lpstr>
      <vt:lpstr>MMULT_Example 3</vt:lpstr>
      <vt:lpstr>MMULT_FAQ</vt:lpstr>
      <vt:lpstr>YIELD_Example</vt:lpstr>
      <vt:lpstr>Freq_Basis</vt:lpstr>
      <vt:lpstr>YIELD_Use</vt:lpstr>
      <vt:lpstr>YIELD_Example 1</vt:lpstr>
      <vt:lpstr>YIELD_Example 2</vt:lpstr>
      <vt:lpstr>YIELD_Example 3</vt:lpstr>
      <vt:lpstr>YIELD_FAQ</vt:lpstr>
      <vt:lpstr>Stock Chart_Example</vt:lpstr>
      <vt:lpstr>Stock Chart_Use</vt:lpstr>
      <vt:lpstr>Stock_Example 1</vt:lpstr>
      <vt:lpstr>Stock_Example 2</vt:lpstr>
      <vt:lpstr>Stock_FAQ</vt:lpstr>
      <vt:lpstr>LOOKUP_Example</vt:lpstr>
      <vt:lpstr>LOOKUP_Use</vt:lpstr>
      <vt:lpstr>LOOKUP_Example 1</vt:lpstr>
      <vt:lpstr>LOOKUP_Example 2</vt:lpstr>
      <vt:lpstr>LOOKUP_Example 3</vt:lpstr>
      <vt:lpstr>LOOKUP_FAQ</vt:lpstr>
      <vt:lpstr>Grouped Bar_Example</vt:lpstr>
      <vt:lpstr>Grouped Bar_Use_rough</vt:lpstr>
      <vt:lpstr>Grouped Bar_Use</vt:lpstr>
      <vt:lpstr>Grouped Bar_Use1</vt:lpstr>
      <vt:lpstr>Grouped Bar_Example 1</vt:lpstr>
      <vt:lpstr>Grouped Bar_Example 2</vt:lpstr>
      <vt:lpstr>Grouped Bar_FAQ</vt:lpstr>
      <vt:lpstr>Timeline Chart_Example</vt:lpstr>
      <vt:lpstr>Timeline Chart_Use</vt:lpstr>
      <vt:lpstr>Timeline Chart_Example 1</vt:lpstr>
      <vt:lpstr>Timeline Chart_Example 2</vt:lpstr>
      <vt:lpstr>Timeline Chart_FAQ</vt:lpstr>
      <vt:lpstr>Two-var_Example</vt:lpstr>
      <vt:lpstr>Two-var_Use</vt:lpstr>
      <vt:lpstr>Two-var_Calculation Sheet</vt:lpstr>
      <vt:lpstr>Two-var Output Sheet</vt:lpstr>
      <vt:lpstr>Two-var_Example 2</vt:lpstr>
      <vt:lpstr>Two-var_FAQ</vt:lpstr>
      <vt:lpstr>One-var_Example</vt:lpstr>
      <vt:lpstr>One-var_Use</vt:lpstr>
      <vt:lpstr>One-var_Example 1</vt:lpstr>
      <vt:lpstr>One-var Example 2</vt:lpstr>
      <vt:lpstr>One-var_FAQ</vt:lpstr>
      <vt:lpstr>Funnel_Example</vt:lpstr>
      <vt:lpstr>Funnel_Use_2013</vt:lpstr>
      <vt:lpstr>Funnel_Use</vt:lpstr>
      <vt:lpstr>Funnel_Example 1</vt:lpstr>
      <vt:lpstr>Funnel_Example 2</vt:lpstr>
      <vt:lpstr>Funnel_Example 2_1</vt:lpstr>
      <vt:lpstr>Funnel_FAQ</vt:lpstr>
      <vt:lpstr>EFNW_Example</vt:lpstr>
      <vt:lpstr>EFNW_1_2</vt:lpstr>
      <vt:lpstr>EFNW_3_4</vt:lpstr>
      <vt:lpstr>EFNW_5</vt:lpstr>
      <vt:lpstr>EFNW 6</vt:lpstr>
      <vt:lpstr>EFNW_7</vt:lpstr>
      <vt:lpstr>EFNW_Not updating</vt:lpstr>
      <vt:lpstr>EFNW_Not Calculating</vt:lpstr>
      <vt:lpstr>EFNW_FAQ</vt:lpstr>
      <vt:lpstr>SUMIF_Mult_Example</vt:lpstr>
      <vt:lpstr>SUMIF_Mult_Use</vt:lpstr>
      <vt:lpstr>SUMIF_Mult_Example 1</vt:lpstr>
      <vt:lpstr>SUMIF_Mult_Example 2</vt:lpstr>
      <vt:lpstr>SUMIF_Mult_Example 3</vt:lpstr>
      <vt:lpstr>SUMIFS_Mult_Use</vt:lpstr>
      <vt:lpstr>SUMIFS_Mult_Example 1</vt:lpstr>
      <vt:lpstr>SUMIFS_Mult_Example 2</vt:lpstr>
      <vt:lpstr>SUMIFS_Mult_Example 3</vt:lpstr>
      <vt:lpstr>SUMIF_Mult_FAQ</vt:lpstr>
      <vt:lpstr>CORREL_Example</vt:lpstr>
      <vt:lpstr>CORREL_Use</vt:lpstr>
      <vt:lpstr>CORREL_Example 1</vt:lpstr>
      <vt:lpstr>CORREL_Example 2</vt:lpstr>
      <vt:lpstr>CORREL_Example 3</vt:lpstr>
      <vt:lpstr>CORREL_FAQ</vt:lpstr>
      <vt:lpstr>FALSE_Example</vt:lpstr>
      <vt:lpstr>FALSE_Use</vt:lpstr>
      <vt:lpstr>FALSE_Example 1</vt:lpstr>
      <vt:lpstr>FALSE_Example 2</vt:lpstr>
      <vt:lpstr>FALSE_Example 3</vt:lpstr>
      <vt:lpstr>FALSE_FAQ 1</vt:lpstr>
      <vt:lpstr>FALSE_FAQ 2</vt:lpstr>
      <vt:lpstr>RANDBETWEEN_Example</vt:lpstr>
      <vt:lpstr>RANBETWEEN_Use</vt:lpstr>
      <vt:lpstr>RANBETWEEN_Use1</vt:lpstr>
      <vt:lpstr>RANBETWEEN_Example 1</vt:lpstr>
      <vt:lpstr>RANBETWEEN_Example 2</vt:lpstr>
      <vt:lpstr>RANBETWEEN_Example 3</vt:lpstr>
      <vt:lpstr>RANBETWEEN_FAQ</vt:lpstr>
      <vt:lpstr>RANBETWEEN_FAQ1</vt:lpstr>
      <vt:lpstr>PRODUCT_Example</vt:lpstr>
      <vt:lpstr>PRODUCT_Use</vt:lpstr>
      <vt:lpstr>PRODUCT_Example 1</vt:lpstr>
      <vt:lpstr>PRODUCT_Example 2</vt:lpstr>
      <vt:lpstr>PRODUCT_Example 3</vt:lpstr>
      <vt:lpstr>PRODUCT_FAQ</vt:lpstr>
      <vt:lpstr>Sales Report_RegionalOffice1</vt:lpstr>
      <vt:lpstr>Sales Report_RegionalOffice2</vt:lpstr>
      <vt:lpstr>Sales Report_Overall</vt:lpstr>
      <vt:lpstr>Texas_Year1 Revenue Report</vt:lpstr>
      <vt:lpstr>Texas_Year2 Revenue Report</vt:lpstr>
      <vt:lpstr>Texas_Year3 Revenue Report</vt:lpstr>
      <vt:lpstr>Texas_Overall Revenue Report</vt:lpstr>
      <vt:lpstr>Assessment1_Marks</vt:lpstr>
      <vt:lpstr>Assessment2_Marks</vt:lpstr>
      <vt:lpstr>Assessment_Best Of Two</vt:lpstr>
      <vt:lpstr>Dealer1_Order Data</vt:lpstr>
      <vt:lpstr>Dealer2_Order Data</vt:lpstr>
      <vt:lpstr>Dealers_Overall Order Data</vt:lpstr>
      <vt:lpstr>Table1_Data</vt:lpstr>
      <vt:lpstr>2021_Day Temperature</vt:lpstr>
      <vt:lpstr>2022_Day Temperature</vt:lpstr>
      <vt:lpstr>Average_Day Temperature</vt:lpstr>
      <vt:lpstr>WEEKNUM_Example</vt:lpstr>
      <vt:lpstr>Return Type</vt:lpstr>
      <vt:lpstr>WEEKNUM_Use</vt:lpstr>
      <vt:lpstr>WEEKNUM_Example 1</vt:lpstr>
      <vt:lpstr>WEEKNUM_Example 2</vt:lpstr>
      <vt:lpstr>WEEKNUM_Example 3</vt:lpstr>
      <vt:lpstr>WEEKNUM_FAQ</vt:lpstr>
      <vt:lpstr>TDIST_Example</vt:lpstr>
      <vt:lpstr>TDIST_Use</vt:lpstr>
      <vt:lpstr>TDIST_Example 1</vt:lpstr>
      <vt:lpstr>TDIST_Example 2</vt:lpstr>
      <vt:lpstr>TDIST_Example 3</vt:lpstr>
      <vt:lpstr>TDIST_FAQ</vt:lpstr>
      <vt:lpstr>SQRT_Example</vt:lpstr>
      <vt:lpstr>SQRT_Use</vt:lpstr>
      <vt:lpstr>SQRT_Example 1</vt:lpstr>
      <vt:lpstr>SQRT_Example 2</vt:lpstr>
      <vt:lpstr>SQRT_Example 3</vt:lpstr>
      <vt:lpstr>SQRT_FAQ</vt:lpstr>
      <vt:lpstr>NORM.DIST_Example</vt:lpstr>
      <vt:lpstr>NORM.DIST_Use</vt:lpstr>
      <vt:lpstr>NORM.DIST_Example 1</vt:lpstr>
      <vt:lpstr>NORM.DIST_Example 1_1</vt:lpstr>
      <vt:lpstr>NORM.DIST_Example 2</vt:lpstr>
      <vt:lpstr>NORM.DIST_Example 3</vt:lpstr>
      <vt:lpstr>NORM.DIST_FAQ</vt:lpstr>
      <vt:lpstr>MOD_Example</vt:lpstr>
      <vt:lpstr>MOD_Use</vt:lpstr>
      <vt:lpstr>MOD_Example 1</vt:lpstr>
      <vt:lpstr>MOD_Example 2</vt:lpstr>
      <vt:lpstr>MOD_Example 3</vt:lpstr>
      <vt:lpstr>MOD_FAQ 1</vt:lpstr>
      <vt:lpstr>LOG_Example</vt:lpstr>
      <vt:lpstr>LOG_Use</vt:lpstr>
      <vt:lpstr>LOG_Example 1</vt:lpstr>
      <vt:lpstr>LOG_Example 2</vt:lpstr>
      <vt:lpstr>LOG_Example 3</vt:lpstr>
      <vt:lpstr>LOG_FAQ</vt:lpstr>
      <vt:lpstr>ISTEXT_Example</vt:lpstr>
      <vt:lpstr>ISTEXT_Use</vt:lpstr>
      <vt:lpstr>ISTEXT_Example 1</vt:lpstr>
      <vt:lpstr>ISTEXT_Example 2</vt:lpstr>
      <vt:lpstr>ISTEXT_Example 3</vt:lpstr>
      <vt:lpstr>ISTEXT_FAQ</vt:lpstr>
      <vt:lpstr>INT_Example</vt:lpstr>
      <vt:lpstr>INT_Use</vt:lpstr>
      <vt:lpstr>INT_Example 1</vt:lpstr>
      <vt:lpstr>INT_Example 2</vt:lpstr>
      <vt:lpstr>INT_Example 3</vt:lpstr>
      <vt:lpstr>INT_FAQ</vt:lpstr>
      <vt:lpstr>IFNA_Example</vt:lpstr>
      <vt:lpstr>IFNA_Use</vt:lpstr>
      <vt:lpstr>IFNA_Example 1</vt:lpstr>
      <vt:lpstr>IFNA_Example 2</vt:lpstr>
      <vt:lpstr>IFNA_Example 3</vt:lpstr>
      <vt:lpstr>IFNA_FAQ</vt:lpstr>
      <vt:lpstr>HYPERLINK_Example</vt:lpstr>
      <vt:lpstr>HYPERLINK_Use</vt:lpstr>
      <vt:lpstr>HYPERLINK_Example 1</vt:lpstr>
      <vt:lpstr>HYPERLINK_Example 2</vt:lpstr>
      <vt:lpstr>HYPERLINK_Example 3</vt:lpstr>
      <vt:lpstr>HYPERLINK_FAQ</vt:lpstr>
      <vt:lpstr>HYPERLINK_FAQ 1</vt:lpstr>
      <vt:lpstr>FTEST_Example</vt:lpstr>
      <vt:lpstr>FTEST_Use</vt:lpstr>
      <vt:lpstr>FTEST_Example 1</vt:lpstr>
      <vt:lpstr>FTEST_Example 2</vt:lpstr>
      <vt:lpstr>FTEST_Example 3</vt:lpstr>
      <vt:lpstr>FTEST_FAQ</vt:lpstr>
      <vt:lpstr>EXP_Example</vt:lpstr>
      <vt:lpstr>EXP_Use</vt:lpstr>
      <vt:lpstr>EXP_Example 1</vt:lpstr>
      <vt:lpstr>EXP_Example 2</vt:lpstr>
      <vt:lpstr>EXP_Example 3</vt:lpstr>
      <vt:lpstr>EXP_FAQ</vt:lpstr>
      <vt:lpstr>EXP_FAQ1</vt:lpstr>
      <vt:lpstr>DMAX_Example</vt:lpstr>
      <vt:lpstr>DMAX_Use</vt:lpstr>
      <vt:lpstr>DMAX_Example 1</vt:lpstr>
      <vt:lpstr>DMAX_Example 2</vt:lpstr>
      <vt:lpstr>DMAX_Example 3</vt:lpstr>
      <vt:lpstr>DMAX_FAQ</vt:lpstr>
      <vt:lpstr>COVAR_Example</vt:lpstr>
      <vt:lpstr>COVAR_Use</vt:lpstr>
      <vt:lpstr>COVAR_Example 1</vt:lpstr>
      <vt:lpstr>COVAR_Example 2</vt:lpstr>
      <vt:lpstr>COVAR_Example 3</vt:lpstr>
      <vt:lpstr>COVAR_FAQ</vt:lpstr>
      <vt:lpstr>COUNTBLANK_Example</vt:lpstr>
      <vt:lpstr>COUNTBLANK_Use</vt:lpstr>
      <vt:lpstr>COUNTBLANK_Example 1</vt:lpstr>
      <vt:lpstr>COUNTBLANK_Example 2</vt:lpstr>
      <vt:lpstr>COUNTBLANK_Example 3</vt:lpstr>
      <vt:lpstr>COUNTBLANK_FAQ</vt:lpstr>
      <vt:lpstr>COUNTBLANK_FAQ1</vt:lpstr>
      <vt:lpstr>Chi-Square Test_Example</vt:lpstr>
      <vt:lpstr>Chi-Square Test_Example1</vt:lpstr>
      <vt:lpstr>Chi-Square Test_Example 1</vt:lpstr>
      <vt:lpstr>Chi-Square Test_Example 2</vt:lpstr>
      <vt:lpstr>Chi-Square Test_FAQ</vt:lpstr>
      <vt:lpstr>ISEVEN_Example</vt:lpstr>
      <vt:lpstr>ISEVEN_Use</vt:lpstr>
      <vt:lpstr>ISEVEN_Example 1</vt:lpstr>
      <vt:lpstr>ISEVEN_Example 2</vt:lpstr>
      <vt:lpstr>ISEVEN_Example 3</vt:lpstr>
      <vt:lpstr>ISEVEN_FAQ</vt:lpstr>
      <vt:lpstr>ISODD_Example</vt:lpstr>
      <vt:lpstr>ISODD_Use</vt:lpstr>
      <vt:lpstr>ISODD_Example 1</vt:lpstr>
      <vt:lpstr>ISODD_Example 2</vt:lpstr>
      <vt:lpstr>ISODD_Example 3</vt:lpstr>
      <vt:lpstr>Sheet8</vt:lpstr>
      <vt:lpstr>ISODD_FAQ</vt:lpstr>
      <vt:lpstr>IRR_Example</vt:lpstr>
      <vt:lpstr>IRR_Use</vt:lpstr>
      <vt:lpstr>IRR_Example 1</vt:lpstr>
      <vt:lpstr>IRR_Example 2</vt:lpstr>
      <vt:lpstr>IRR_Example 3</vt:lpstr>
      <vt:lpstr>IRR_FAQ</vt:lpstr>
      <vt:lpstr>IRR FAQ1</vt:lpstr>
      <vt:lpstr>Subtraction_Example</vt:lpstr>
      <vt:lpstr>Subtraction_Use</vt:lpstr>
      <vt:lpstr>Subtraction_Cells</vt:lpstr>
      <vt:lpstr>Subtraction_Columns</vt:lpstr>
      <vt:lpstr>Subtraction_Percentage</vt:lpstr>
      <vt:lpstr>Subtraction_Date</vt:lpstr>
      <vt:lpstr>Subtraction_Time</vt:lpstr>
      <vt:lpstr>Subtraction_Matrix</vt:lpstr>
      <vt:lpstr>Subtraction_Text</vt:lpstr>
      <vt:lpstr>Subtraction_List</vt:lpstr>
      <vt:lpstr>Subtraction_FAQ</vt:lpstr>
      <vt:lpstr>Divide_Example</vt:lpstr>
      <vt:lpstr>Divide_Sign</vt:lpstr>
      <vt:lpstr>Divide_Quotient</vt:lpstr>
      <vt:lpstr>Divide_Columns</vt:lpstr>
      <vt:lpstr>Divide_Col_Num</vt:lpstr>
      <vt:lpstr>Divide_Col_Num1</vt:lpstr>
      <vt:lpstr>Divide_Percentage</vt:lpstr>
      <vt:lpstr>Divide_Error</vt:lpstr>
      <vt:lpstr>DIVIDE_FAQ</vt:lpstr>
      <vt:lpstr>DIVIDE_FAQ1</vt:lpstr>
      <vt:lpstr>Substring_Example</vt:lpstr>
      <vt:lpstr>Substring_Fns</vt:lpstr>
      <vt:lpstr>Substring_before</vt:lpstr>
      <vt:lpstr>Substring_after</vt:lpstr>
      <vt:lpstr>Substring_between</vt:lpstr>
      <vt:lpstr>Substring_partial</vt:lpstr>
      <vt:lpstr>Substring_FAQ</vt:lpstr>
      <vt:lpstr>ConvertTN_Example</vt:lpstr>
      <vt:lpstr>ConvertTN_Identify</vt:lpstr>
      <vt:lpstr>ConvertTN_QuickOption</vt:lpstr>
      <vt:lpstr>ConvertTN_PasteSpecial</vt:lpstr>
      <vt:lpstr>ConvertTN_TextCol</vt:lpstr>
      <vt:lpstr>ConvertTN_Formula</vt:lpstr>
      <vt:lpstr>ConvertTN_Math</vt:lpstr>
      <vt:lpstr>ConvertTN_FAQ</vt:lpstr>
      <vt:lpstr>PChange_Example</vt:lpstr>
      <vt:lpstr>PChange_In_De</vt:lpstr>
      <vt:lpstr>PChange_After</vt:lpstr>
      <vt:lpstr>PChange_After1</vt:lpstr>
      <vt:lpstr>PChange_Absolute</vt:lpstr>
      <vt:lpstr>PChange_Discount</vt:lpstr>
      <vt:lpstr>PChange_Zero</vt:lpstr>
      <vt:lpstr>PChange_Negative</vt:lpstr>
      <vt:lpstr>PChange_Error</vt:lpstr>
      <vt:lpstr>PChange_FAQ</vt:lpstr>
      <vt:lpstr>VALUE_Error_Example</vt:lpstr>
      <vt:lpstr>VALUE_Error_Text_String</vt:lpstr>
      <vt:lpstr>VALUE_Error_Argument_Type</vt:lpstr>
      <vt:lpstr>VALUE_Error_Date</vt:lpstr>
      <vt:lpstr>VALUE_Error_Fix</vt:lpstr>
      <vt:lpstr>VALUE_Error_Find</vt:lpstr>
      <vt:lpstr>VALUE_Error_FAQ</vt:lpstr>
      <vt:lpstr>P-value_Example</vt:lpstr>
      <vt:lpstr>P-Value_Use</vt:lpstr>
      <vt:lpstr>Sheet5</vt:lpstr>
      <vt:lpstr>P-Value_Use1</vt:lpstr>
      <vt:lpstr>P-Value_Example 1</vt:lpstr>
      <vt:lpstr>P-Value_Example 2</vt:lpstr>
      <vt:lpstr>P-Value FAQ</vt:lpstr>
      <vt:lpstr>Page_Example</vt:lpstr>
      <vt:lpstr>Page_Create</vt:lpstr>
      <vt:lpstr>Sheet15</vt:lpstr>
      <vt:lpstr>Page_Example 1</vt:lpstr>
      <vt:lpstr>Page_Example 2</vt:lpstr>
      <vt:lpstr>Page_Example 3</vt:lpstr>
      <vt:lpstr>Page_FAQ</vt:lpstr>
      <vt:lpstr>CONFIDENCE_Example</vt:lpstr>
      <vt:lpstr>CONFIDENCE_Use</vt:lpstr>
      <vt:lpstr>CONFIDENCE_Example 1</vt:lpstr>
      <vt:lpstr>CONFIDENCE_Example 1_1</vt:lpstr>
      <vt:lpstr>CONFIDENCE_Example 2</vt:lpstr>
      <vt:lpstr>CONFIDENCE_Example 3</vt:lpstr>
      <vt:lpstr>CONFIDENCE_FAQ</vt:lpstr>
      <vt:lpstr>LI_Example</vt:lpstr>
      <vt:lpstr>LI_Use</vt:lpstr>
      <vt:lpstr>LI_Example1</vt:lpstr>
      <vt:lpstr>LI_Example2</vt:lpstr>
      <vt:lpstr>LI_Example3</vt:lpstr>
      <vt:lpstr>LI_FAQ</vt:lpstr>
      <vt:lpstr>CS_Example</vt:lpstr>
      <vt:lpstr>CS_Use</vt:lpstr>
      <vt:lpstr>CS_Example 1</vt:lpstr>
      <vt:lpstr>CS_Example 2</vt:lpstr>
      <vt:lpstr>CS_Example 3</vt:lpstr>
      <vt:lpstr>CS_FAQ</vt:lpstr>
      <vt:lpstr>UNICODE_Example</vt:lpstr>
      <vt:lpstr>UNICODE_Use</vt:lpstr>
      <vt:lpstr>UNICODE_Example 1</vt:lpstr>
      <vt:lpstr>UNICODE_Example 2</vt:lpstr>
      <vt:lpstr>UNICODE_Example 23</vt:lpstr>
      <vt:lpstr>UNICODE_Example 3</vt:lpstr>
      <vt:lpstr>UNICODE_FAQ</vt:lpstr>
      <vt:lpstr>Fractions_Example</vt:lpstr>
      <vt:lpstr>Fractions_Use</vt:lpstr>
      <vt:lpstr>Fractions_Example 1</vt:lpstr>
      <vt:lpstr>Fractions_Example 2</vt:lpstr>
      <vt:lpstr>Fractions_Example 3</vt:lpstr>
      <vt:lpstr>Fractions_FAQ</vt:lpstr>
      <vt:lpstr>IF_AND_Example</vt:lpstr>
      <vt:lpstr>IF_AND_Use</vt:lpstr>
      <vt:lpstr>IF_AND_Example 1</vt:lpstr>
      <vt:lpstr>IF_AND_Example 2</vt:lpstr>
      <vt:lpstr>IF_AND_Example 3</vt:lpstr>
      <vt:lpstr>IF_AND_FAQ</vt:lpstr>
      <vt:lpstr>NORM.S.INV_Example</vt:lpstr>
      <vt:lpstr>NORM.S.INV_Use</vt:lpstr>
      <vt:lpstr>NORM.S.INV_Example 1</vt:lpstr>
      <vt:lpstr>NORM.S.INV_Example 2</vt:lpstr>
      <vt:lpstr>NORM.S.INV_Example 3</vt:lpstr>
      <vt:lpstr>NORM.S.INV_FAQ</vt:lpstr>
      <vt:lpstr>NORM.S.INV_FAQ1</vt:lpstr>
      <vt:lpstr>Percentage_Example</vt:lpstr>
      <vt:lpstr>Percentage_Use</vt:lpstr>
      <vt:lpstr>Percentage_Example 1</vt:lpstr>
      <vt:lpstr>Percentage_Example 2</vt:lpstr>
      <vt:lpstr>Percentage_Example 3</vt:lpstr>
      <vt:lpstr>Percentage_FAQ</vt:lpstr>
      <vt:lpstr>SentenceCase_Example</vt:lpstr>
      <vt:lpstr>SentenceCase_Use</vt:lpstr>
      <vt:lpstr>SentenceCase_Example 1</vt:lpstr>
      <vt:lpstr>SentenceCase_Example 2</vt:lpstr>
      <vt:lpstr>SentenceCase_Example 3</vt:lpstr>
      <vt:lpstr>SentenceCase_FAQ</vt:lpstr>
      <vt:lpstr>SP_MC_Example</vt:lpstr>
      <vt:lpstr>SP_MC_Use</vt:lpstr>
      <vt:lpstr>SP_MC_Example 1</vt:lpstr>
      <vt:lpstr>SP_MC_Example 2</vt:lpstr>
      <vt:lpstr>SP_MC_Example 3</vt:lpstr>
      <vt:lpstr>SP_MC_FAQ</vt:lpstr>
      <vt:lpstr>Charts_Example</vt:lpstr>
      <vt:lpstr>Chart_Column</vt:lpstr>
      <vt:lpstr>Chart_Line</vt:lpstr>
      <vt:lpstr>Chart_Pie</vt:lpstr>
      <vt:lpstr>Chart_Bar</vt:lpstr>
      <vt:lpstr>Chart_Area</vt:lpstr>
      <vt:lpstr>Chart_Scatter</vt:lpstr>
      <vt:lpstr>Chart_Stock</vt:lpstr>
      <vt:lpstr>Chart_Radar</vt:lpstr>
      <vt:lpstr>Chart_Histogram</vt:lpstr>
      <vt:lpstr>Chart_Waterfall</vt:lpstr>
      <vt:lpstr>Z-test_Example</vt:lpstr>
      <vt:lpstr>Z-test_Use</vt:lpstr>
      <vt:lpstr>Z-test_Example 1</vt:lpstr>
      <vt:lpstr>Z-test_Example 2</vt:lpstr>
      <vt:lpstr>Z-test_Example 3</vt:lpstr>
      <vt:lpstr>Z-test_FAQ</vt:lpstr>
      <vt:lpstr>WD_Example</vt:lpstr>
      <vt:lpstr>WD_Use</vt:lpstr>
      <vt:lpstr>WD_Example 1</vt:lpstr>
      <vt:lpstr>WD_Example 2</vt:lpstr>
      <vt:lpstr>WD_Example 3</vt:lpstr>
      <vt:lpstr>WD_Example 3_1</vt:lpstr>
      <vt:lpstr>WD_FAQ</vt:lpstr>
      <vt:lpstr>Break-Even_Example</vt:lpstr>
      <vt:lpstr>Break-Even_Example 1</vt:lpstr>
      <vt:lpstr>Break-Even_Example 2</vt:lpstr>
      <vt:lpstr>Break-Even_Example 3</vt:lpstr>
      <vt:lpstr>Break-Even_Example 4</vt:lpstr>
      <vt:lpstr>Break-Even_FAQ</vt:lpstr>
      <vt:lpstr>DEGREES_Example</vt:lpstr>
      <vt:lpstr>DEGREES_Use</vt:lpstr>
      <vt:lpstr>DEGREES_Example 1</vt:lpstr>
      <vt:lpstr>DEGREES_Example 2</vt:lpstr>
      <vt:lpstr>DEGREES_Example 3</vt:lpstr>
      <vt:lpstr>DEGREES_FAQ</vt:lpstr>
      <vt:lpstr>Area Chart_Example</vt:lpstr>
      <vt:lpstr>Area Chart_Use</vt:lpstr>
      <vt:lpstr>Area Chart_Example 1</vt:lpstr>
      <vt:lpstr>Area Chart_Example 2</vt:lpstr>
      <vt:lpstr>Area Chart_Example 2_1</vt:lpstr>
      <vt:lpstr>Area Chart_Example 3</vt:lpstr>
      <vt:lpstr>Area Chart_FAQ</vt:lpstr>
      <vt:lpstr>CColChart_Example</vt:lpstr>
      <vt:lpstr>CColChart_Use</vt:lpstr>
      <vt:lpstr>CColChart_Example 1</vt:lpstr>
      <vt:lpstr>CColChart_Example 2</vt:lpstr>
      <vt:lpstr>CColChart_Example 3</vt:lpstr>
      <vt:lpstr>CColChart_FAQ</vt:lpstr>
      <vt:lpstr>LOGNORMAL.DIST_Example</vt:lpstr>
      <vt:lpstr>LOGNORMAL.DIST_Use</vt:lpstr>
      <vt:lpstr>LOGNORMAL.DIST_Example 1</vt:lpstr>
      <vt:lpstr>LOGNORMAL.DIST_Example 2</vt:lpstr>
      <vt:lpstr>LOGNORMAL.DIST_Example 3</vt:lpstr>
      <vt:lpstr>LOGNORMAL.DIST_FAQ</vt:lpstr>
      <vt:lpstr>Tally_Example</vt:lpstr>
      <vt:lpstr>Tally_Use</vt:lpstr>
      <vt:lpstr>Tally_Example 1</vt:lpstr>
      <vt:lpstr>Tally_Example 2</vt:lpstr>
      <vt:lpstr>Tally_Example 3</vt:lpstr>
      <vt:lpstr>Tally_FAQ</vt:lpstr>
      <vt:lpstr>Bubble_Example</vt:lpstr>
      <vt:lpstr>Bubble_Create</vt:lpstr>
      <vt:lpstr>Bubble_Example 1</vt:lpstr>
      <vt:lpstr>Bubble_Example 2</vt:lpstr>
      <vt:lpstr>Bubble_FAQ</vt:lpstr>
      <vt:lpstr>ExcelMojo</vt:lpstr>
      <vt:lpstr>CovMat_Example</vt:lpstr>
      <vt:lpstr>CovMat_Use</vt:lpstr>
      <vt:lpstr>CovMat_Example 1</vt:lpstr>
      <vt:lpstr>CovMat_Example 2</vt:lpstr>
      <vt:lpstr>CovMat_Example 3</vt:lpstr>
      <vt:lpstr>CovMat_FAQ</vt:lpstr>
      <vt:lpstr>Master Worksheet</vt:lpstr>
      <vt:lpstr>Rough</vt:lpstr>
      <vt:lpstr>Array_FAQ</vt:lpstr>
      <vt:lpstr>EMP_Name</vt:lpstr>
      <vt:lpstr>Laptop_Order_Data</vt:lpstr>
      <vt:lpstr>Name_List</vt:lpstr>
      <vt:lpstr>Page_FAQ!Print_Area</vt:lpstr>
      <vt:lpstr>'Show Formula_Print'!Print_Area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Suganthi S</dc:creator>
  <cp:lastModifiedBy>Akshar Dholakiya</cp:lastModifiedBy>
  <cp:lastPrinted>2022-12-22T05:10:37Z</cp:lastPrinted>
  <dcterms:created xsi:type="dcterms:W3CDTF">2022-06-20T02:59:14Z</dcterms:created>
  <dcterms:modified xsi:type="dcterms:W3CDTF">2024-10-24T09:37:19Z</dcterms:modified>
</cp:coreProperties>
</file>