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drawings/drawing6.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mc:AlternateContent xmlns:mc="http://schemas.openxmlformats.org/markup-compatibility/2006">
    <mc:Choice Requires="x15">
      <x15ac:absPath xmlns:x15ac="http://schemas.microsoft.com/office/spreadsheetml/2010/11/ac" url="E:\iNeuron\Excel\"/>
    </mc:Choice>
  </mc:AlternateContent>
  <xr:revisionPtr revIDLastSave="0" documentId="13_ncr:1_{8C25099E-0270-4E34-BEAE-9C158A940402}" xr6:coauthVersionLast="47" xr6:coauthVersionMax="47" xr10:uidLastSave="{00000000-0000-0000-0000-000000000000}"/>
  <bookViews>
    <workbookView xWindow="-108" yWindow="-108" windowWidth="23256" windowHeight="12576" firstSheet="13" activeTab="14" xr2:uid="{00000000-000D-0000-FFFF-FFFF00000000}"/>
  </bookViews>
  <sheets>
    <sheet name="Pre-Defined Functions" sheetId="1" r:id="rId1"/>
    <sheet name="DATE TIME FUNCTIONS" sheetId="2" r:id="rId2"/>
    <sheet name="STRING FUNCTIONS" sheetId="3" r:id="rId3"/>
    <sheet name="Mathematical Functions" sheetId="4" r:id="rId4"/>
    <sheet name="LOOKUP Functions" sheetId="5" r:id="rId5"/>
    <sheet name="Logical &amp; Error Functions" sheetId="6" r:id="rId6"/>
    <sheet name="Statistical Functions" sheetId="7" r:id="rId7"/>
    <sheet name="Images in Excel" sheetId="8" r:id="rId8"/>
    <sheet name="Formatting in Excel" sheetId="9" r:id="rId9"/>
    <sheet name="Custom Formatting" sheetId="10" r:id="rId10"/>
    <sheet name="Conditional Formatting" sheetId="11" r:id="rId11"/>
    <sheet name="Charts in Excel" sheetId="12" r:id="rId12"/>
    <sheet name="Sheet4" sheetId="15" r:id="rId13"/>
    <sheet name="Data Analysis using Excel" sheetId="16" r:id="rId14"/>
    <sheet name="Data Analysis using Excel 2" sheetId="17" r:id="rId15"/>
    <sheet name="Pivot Table" sheetId="18" r:id="rId16"/>
    <sheet name="Pivot Table 2" sheetId="19" r:id="rId17"/>
    <sheet name="Dashboarding in Excel" sheetId="20" r:id="rId18"/>
    <sheet name="Other Extras" sheetId="21" r:id="rId19"/>
    <sheet name="What-IF tools" sheetId="23" r:id="rId20"/>
    <sheet name="Advanced Excel" sheetId="24" r:id="rId21"/>
    <sheet name="Working with Excel Functions" sheetId="25" r:id="rId22"/>
  </sheets>
  <definedNames>
    <definedName name="_xlnm._FilterDatabase" localSheetId="7" hidden="1">'Images in Excel'!$B$3:$D$8</definedName>
    <definedName name="_xlnm._FilterDatabase" localSheetId="21" hidden="1">'Working with Excel Functions'!$N$2:$U$22</definedName>
    <definedName name="Slicer_Exited1">#N/A</definedName>
    <definedName name="Slicer_Gender">#N/A</definedName>
    <definedName name="Slicer_HasCrCard">#N/A</definedName>
  </definedNames>
  <calcPr calcId="191029"/>
  <pivotCaches>
    <pivotCache cacheId="0" r:id="rId23"/>
    <pivotCache cacheId="1" r:id="rId24"/>
  </pivotCaches>
  <extLst>
    <ext xmlns:x14="http://schemas.microsoft.com/office/spreadsheetml/2009/9/main" uri="{BBE1A952-AA13-448e-AADC-164F8A28A991}">
      <x14:slicerCaches>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6" i="25" l="1"/>
  <c r="C5" i="25"/>
  <c r="C4" i="25"/>
  <c r="H21" i="23"/>
  <c r="H20" i="23"/>
  <c r="H19" i="23"/>
  <c r="H18" i="23"/>
  <c r="I12" i="23"/>
  <c r="I13" i="23"/>
  <c r="I14" i="23"/>
  <c r="I11" i="23"/>
  <c r="H11" i="23"/>
  <c r="H12" i="23"/>
  <c r="H13" i="23"/>
  <c r="H14" i="23"/>
  <c r="O5" i="21"/>
  <c r="O6" i="21"/>
  <c r="O7" i="21"/>
  <c r="O8" i="21"/>
  <c r="O9" i="21"/>
  <c r="O10" i="21"/>
  <c r="O11" i="21"/>
  <c r="O12" i="21"/>
  <c r="O13" i="21"/>
  <c r="O14" i="21"/>
  <c r="O15" i="21"/>
  <c r="O16" i="21"/>
  <c r="O17" i="21"/>
  <c r="O18" i="21"/>
  <c r="O19" i="21"/>
  <c r="O20" i="21"/>
  <c r="O21" i="21"/>
  <c r="O22" i="21"/>
  <c r="O23" i="21"/>
  <c r="O4" i="21"/>
  <c r="P5" i="21"/>
  <c r="P6" i="21"/>
  <c r="P7" i="21"/>
  <c r="P8" i="21"/>
  <c r="P9" i="21"/>
  <c r="P10" i="21"/>
  <c r="P11" i="21"/>
  <c r="P12" i="21"/>
  <c r="P13" i="21"/>
  <c r="P14" i="21"/>
  <c r="P15" i="21"/>
  <c r="P16" i="21"/>
  <c r="P17" i="21"/>
  <c r="P18" i="21"/>
  <c r="P19" i="21"/>
  <c r="P20" i="21"/>
  <c r="P21" i="21"/>
  <c r="P22" i="21"/>
  <c r="P23" i="21"/>
  <c r="P4" i="21"/>
  <c r="R14" i="16"/>
  <c r="K17" i="16"/>
  <c r="T3" i="16"/>
  <c r="L2" i="16"/>
  <c r="C48" i="7"/>
  <c r="C42" i="7"/>
  <c r="C41" i="7"/>
  <c r="I38" i="7"/>
  <c r="I37" i="7"/>
  <c r="I36" i="7"/>
  <c r="C40" i="7"/>
  <c r="C39" i="7"/>
  <c r="C38" i="7"/>
  <c r="C37" i="7"/>
  <c r="C36" i="7"/>
  <c r="N5" i="6"/>
  <c r="N6" i="6"/>
  <c r="N7" i="6"/>
  <c r="N8" i="6"/>
  <c r="N9" i="6"/>
  <c r="N10" i="6"/>
  <c r="N11" i="6"/>
  <c r="N4" i="6"/>
  <c r="M5" i="6"/>
  <c r="M6" i="6"/>
  <c r="M7" i="6"/>
  <c r="M8" i="6"/>
  <c r="M9" i="6"/>
  <c r="M10" i="6"/>
  <c r="M11" i="6"/>
  <c r="M4" i="6"/>
  <c r="L5" i="6"/>
  <c r="L6" i="6"/>
  <c r="L7" i="6"/>
  <c r="L8" i="6"/>
  <c r="L9" i="6"/>
  <c r="L10" i="6"/>
  <c r="L11" i="6"/>
  <c r="L4" i="6"/>
  <c r="K5" i="6"/>
  <c r="K6" i="6"/>
  <c r="K7" i="6"/>
  <c r="K8" i="6"/>
  <c r="K9" i="6"/>
  <c r="K10" i="6"/>
  <c r="K11" i="6"/>
  <c r="K4" i="6"/>
  <c r="C5" i="6"/>
  <c r="C6" i="6"/>
  <c r="C7" i="6"/>
  <c r="C8" i="6"/>
  <c r="C9" i="6"/>
  <c r="C10" i="6"/>
  <c r="C11" i="6"/>
  <c r="C12" i="6"/>
  <c r="C13" i="6"/>
  <c r="C14" i="6"/>
  <c r="C15" i="6"/>
  <c r="C16" i="6"/>
  <c r="C17" i="6"/>
  <c r="C18" i="6"/>
  <c r="C19" i="6"/>
  <c r="C20" i="6"/>
  <c r="C4" i="6"/>
  <c r="B5" i="6"/>
  <c r="B6" i="6"/>
  <c r="B7" i="6"/>
  <c r="B8" i="6"/>
  <c r="B9" i="6"/>
  <c r="B10" i="6"/>
  <c r="B11" i="6"/>
  <c r="B12" i="6"/>
  <c r="B13" i="6"/>
  <c r="B14" i="6"/>
  <c r="B15" i="6"/>
  <c r="B16" i="6"/>
  <c r="B17" i="6"/>
  <c r="B18" i="6"/>
  <c r="B19" i="6"/>
  <c r="B20" i="6"/>
  <c r="B4" i="6"/>
  <c r="F22" i="5"/>
  <c r="B23" i="5"/>
  <c r="B22" i="5"/>
  <c r="D19" i="5"/>
  <c r="J10" i="5"/>
  <c r="J9" i="5"/>
  <c r="J8" i="5"/>
  <c r="D18" i="5"/>
  <c r="I10" i="5"/>
  <c r="I9" i="5"/>
  <c r="I8" i="5"/>
  <c r="D17" i="5"/>
  <c r="D16" i="5"/>
  <c r="D15" i="5"/>
  <c r="C12" i="4"/>
  <c r="C11" i="4"/>
  <c r="C10" i="4"/>
  <c r="C9" i="4"/>
  <c r="C8" i="4"/>
  <c r="J14" i="4"/>
  <c r="K13" i="4"/>
  <c r="J13" i="4"/>
  <c r="J12" i="4"/>
  <c r="C7" i="4"/>
  <c r="C6" i="4"/>
  <c r="C5" i="4"/>
  <c r="C4" i="4"/>
  <c r="C3" i="4"/>
  <c r="C2" i="4"/>
  <c r="L7" i="3"/>
  <c r="L6" i="3"/>
  <c r="L5" i="3"/>
  <c r="L4" i="3"/>
  <c r="O3" i="3"/>
  <c r="L3" i="3"/>
  <c r="L2" i="3"/>
  <c r="E2" i="2"/>
  <c r="C7" i="2"/>
  <c r="C6" i="2"/>
  <c r="C5" i="2"/>
  <c r="C4" i="2"/>
  <c r="C2" i="2"/>
  <c r="C3" i="2" s="1"/>
  <c r="C11" i="1"/>
  <c r="C10" i="1"/>
  <c r="C9" i="1"/>
  <c r="G2" i="1"/>
  <c r="G3" i="1"/>
  <c r="G4" i="1"/>
  <c r="G5" i="1"/>
  <c r="G6" i="1"/>
  <c r="G7" i="1"/>
  <c r="G1" i="1"/>
  <c r="C7" i="1"/>
  <c r="C6" i="1"/>
  <c r="C5" i="1"/>
  <c r="C4" i="1"/>
  <c r="C3" i="1"/>
  <c r="C2" i="1"/>
  <c r="C45" i="7" l="1"/>
  <c r="C46" i="7"/>
  <c r="C43" i="7"/>
  <c r="C44" i="7"/>
</calcChain>
</file>

<file path=xl/sharedStrings.xml><?xml version="1.0" encoding="utf-8"?>
<sst xmlns="http://schemas.openxmlformats.org/spreadsheetml/2006/main" count="1025" uniqueCount="273">
  <si>
    <t>PRE-DEFINED FUNCTIONS</t>
  </si>
  <si>
    <t>ROUND</t>
  </si>
  <si>
    <t>SQRT</t>
  </si>
  <si>
    <t>MAX</t>
  </si>
  <si>
    <t>MIN</t>
  </si>
  <si>
    <t>AVG</t>
  </si>
  <si>
    <t>SUM</t>
  </si>
  <si>
    <t>RANK</t>
  </si>
  <si>
    <t>LEFT</t>
  </si>
  <si>
    <t>RIGHT</t>
  </si>
  <si>
    <t>LEN</t>
  </si>
  <si>
    <t>DATETIME</t>
  </si>
  <si>
    <t>TODAY</t>
  </si>
  <si>
    <t>EOMONTH</t>
  </si>
  <si>
    <t>NETWORKDAYS</t>
  </si>
  <si>
    <t>WEEKDAYS</t>
  </si>
  <si>
    <t>NETWORKDAYS.INTL</t>
  </si>
  <si>
    <t>INDIAN GOVT WORKING DAYS IN 2022(SAT, SUN Holiday)</t>
  </si>
  <si>
    <t>STRING FUNCTIONS</t>
  </si>
  <si>
    <t>FIND</t>
  </si>
  <si>
    <t>Returns the location of a substring in a string</t>
  </si>
  <si>
    <t>Hello Everyone, My name is Akshay</t>
  </si>
  <si>
    <t>REPLACE</t>
  </si>
  <si>
    <t>Replaces characters specified by locations in a given text string with another text string</t>
  </si>
  <si>
    <t>SUBSTITUTE</t>
  </si>
  <si>
    <t>Replaces existing text with new text in a text string</t>
  </si>
  <si>
    <t>MID</t>
  </si>
  <si>
    <t>Returns the characters from the middle of a text string given starting position and length</t>
  </si>
  <si>
    <t>SEARCH</t>
  </si>
  <si>
    <t>Returns number of characters from the a text string at which the the character is first found</t>
  </si>
  <si>
    <t>CONCAT</t>
  </si>
  <si>
    <t>Combines the text from multiple ranges and/or strings</t>
  </si>
  <si>
    <t>Mathematical Functions</t>
  </si>
  <si>
    <t>PRODUCT</t>
  </si>
  <si>
    <t>MOD</t>
  </si>
  <si>
    <t>FACT</t>
  </si>
  <si>
    <t>ROUNDUP</t>
  </si>
  <si>
    <t>ROUNDDOWN</t>
  </si>
  <si>
    <t>SUMIFS</t>
  </si>
  <si>
    <t>DATE</t>
  </si>
  <si>
    <t>COLOR</t>
  </si>
  <si>
    <t>REGION</t>
  </si>
  <si>
    <t>Value</t>
  </si>
  <si>
    <t>MOUSE</t>
  </si>
  <si>
    <t>MOUSEPAD</t>
  </si>
  <si>
    <t>KEYBOARD</t>
  </si>
  <si>
    <t>WEBCAM</t>
  </si>
  <si>
    <t>HEADPHONES</t>
  </si>
  <si>
    <t>HDD</t>
  </si>
  <si>
    <t>SSD</t>
  </si>
  <si>
    <t>MONITOR</t>
  </si>
  <si>
    <t>CPU</t>
  </si>
  <si>
    <t>SPEAKERS</t>
  </si>
  <si>
    <t>RED</t>
  </si>
  <si>
    <t>YELLOW</t>
  </si>
  <si>
    <t>GREEN</t>
  </si>
  <si>
    <t>AP</t>
  </si>
  <si>
    <t>UP</t>
  </si>
  <si>
    <t>MH</t>
  </si>
  <si>
    <t>KR</t>
  </si>
  <si>
    <t>SUMIF</t>
  </si>
  <si>
    <t>AVERAGE</t>
  </si>
  <si>
    <t>AVERAGEIF</t>
  </si>
  <si>
    <t>AVERAGEIFS</t>
  </si>
  <si>
    <t>VLOOKUP</t>
  </si>
  <si>
    <t>Number</t>
  </si>
  <si>
    <t>Description</t>
  </si>
  <si>
    <t>Type</t>
  </si>
  <si>
    <t>Price in INR</t>
  </si>
  <si>
    <t>Apple</t>
  </si>
  <si>
    <t>Motorola</t>
  </si>
  <si>
    <t>OnePlus</t>
  </si>
  <si>
    <t>Asus</t>
  </si>
  <si>
    <t>Razor</t>
  </si>
  <si>
    <t>Microsoft</t>
  </si>
  <si>
    <t>LG</t>
  </si>
  <si>
    <t>Kodak</t>
  </si>
  <si>
    <t>Canon</t>
  </si>
  <si>
    <t>Mobile</t>
  </si>
  <si>
    <t>Laptop</t>
  </si>
  <si>
    <t>Camera</t>
  </si>
  <si>
    <t>HLOOKUP</t>
  </si>
  <si>
    <t>Oneplus</t>
  </si>
  <si>
    <t>Apple Macbook</t>
  </si>
  <si>
    <t>MATCH</t>
  </si>
  <si>
    <t>INDEX</t>
  </si>
  <si>
    <t>IF</t>
  </si>
  <si>
    <t>IFELSE</t>
  </si>
  <si>
    <t>Age</t>
  </si>
  <si>
    <t>Age Group</t>
  </si>
  <si>
    <t>AND</t>
  </si>
  <si>
    <t>OR</t>
  </si>
  <si>
    <t>Age Group2</t>
  </si>
  <si>
    <t>Name</t>
  </si>
  <si>
    <t>Gender</t>
  </si>
  <si>
    <t>Physics</t>
  </si>
  <si>
    <t>Chemistry</t>
  </si>
  <si>
    <t>Analysis (OR)</t>
  </si>
  <si>
    <t>Analysis (AND)</t>
  </si>
  <si>
    <t>Result (OR)</t>
  </si>
  <si>
    <t xml:space="preserve"> Result (AND)</t>
  </si>
  <si>
    <t>Mathematics</t>
  </si>
  <si>
    <t>A</t>
  </si>
  <si>
    <t>B</t>
  </si>
  <si>
    <t>C</t>
  </si>
  <si>
    <t>D</t>
  </si>
  <si>
    <t>E</t>
  </si>
  <si>
    <t>F</t>
  </si>
  <si>
    <t>G</t>
  </si>
  <si>
    <t>H</t>
  </si>
  <si>
    <t>MALE</t>
  </si>
  <si>
    <t>FEMALE</t>
  </si>
  <si>
    <t>PARTIAL FAIL</t>
  </si>
  <si>
    <t>FAILED</t>
  </si>
  <si>
    <t>Statistical Functions</t>
  </si>
  <si>
    <t>RowNumber</t>
  </si>
  <si>
    <t>CustomerId</t>
  </si>
  <si>
    <t>Surname</t>
  </si>
  <si>
    <t>CreditScore</t>
  </si>
  <si>
    <t>Geography</t>
  </si>
  <si>
    <t>Tenure</t>
  </si>
  <si>
    <t>Balance</t>
  </si>
  <si>
    <t>NumOfProducts</t>
  </si>
  <si>
    <t>HasCrCard</t>
  </si>
  <si>
    <t>IsActiveMember</t>
  </si>
  <si>
    <t>EstimatedSalary</t>
  </si>
  <si>
    <t>Exited</t>
  </si>
  <si>
    <t>Hargrave</t>
  </si>
  <si>
    <t>France</t>
  </si>
  <si>
    <t>Female</t>
  </si>
  <si>
    <t>Hill</t>
  </si>
  <si>
    <t>Spain</t>
  </si>
  <si>
    <t>Onio</t>
  </si>
  <si>
    <t>Boni</t>
  </si>
  <si>
    <t>Mitchell</t>
  </si>
  <si>
    <t>Chu</t>
  </si>
  <si>
    <t>Male</t>
  </si>
  <si>
    <t>Bartlett</t>
  </si>
  <si>
    <t>Obinna</t>
  </si>
  <si>
    <t>Germany</t>
  </si>
  <si>
    <t>He</t>
  </si>
  <si>
    <t>H?</t>
  </si>
  <si>
    <t>Bearce</t>
  </si>
  <si>
    <t>Andrews</t>
  </si>
  <si>
    <t>Kay</t>
  </si>
  <si>
    <t>Chin</t>
  </si>
  <si>
    <t>Scott</t>
  </si>
  <si>
    <t>Goforth</t>
  </si>
  <si>
    <t>Romeo</t>
  </si>
  <si>
    <t>Henderson</t>
  </si>
  <si>
    <t>Muldrow</t>
  </si>
  <si>
    <t>Hao</t>
  </si>
  <si>
    <t>McDonald</t>
  </si>
  <si>
    <t>Dellucci</t>
  </si>
  <si>
    <t>Gerasimov</t>
  </si>
  <si>
    <t>Mosman</t>
  </si>
  <si>
    <t>Yen</t>
  </si>
  <si>
    <t>Maclean</t>
  </si>
  <si>
    <t>Young</t>
  </si>
  <si>
    <t>Nebechi</t>
  </si>
  <si>
    <t>McWilliams</t>
  </si>
  <si>
    <t>Lucciano</t>
  </si>
  <si>
    <t>COUNT</t>
  </si>
  <si>
    <t>COUNTA</t>
  </si>
  <si>
    <t>COUNTBLANK</t>
  </si>
  <si>
    <t>COUNTIF</t>
  </si>
  <si>
    <t>COUNTIFS</t>
  </si>
  <si>
    <t>How many Males have exited the company ??</t>
  </si>
  <si>
    <t>How many females in Germany have salary &gt;100000 ??</t>
  </si>
  <si>
    <t>How many peoples whose age is greater than 40 have Credit Card and Salary &gt;=100000 and have exited ??</t>
  </si>
  <si>
    <t>MEAN</t>
  </si>
  <si>
    <t>MEDIAN</t>
  </si>
  <si>
    <t>MODE</t>
  </si>
  <si>
    <t>STDDEV</t>
  </si>
  <si>
    <t>VAR</t>
  </si>
  <si>
    <t>Images in Excel</t>
  </si>
  <si>
    <t>Company</t>
  </si>
  <si>
    <t>Logo</t>
  </si>
  <si>
    <t>Sales</t>
  </si>
  <si>
    <t>Netflix</t>
  </si>
  <si>
    <t>Amazon</t>
  </si>
  <si>
    <t>Hotstar</t>
  </si>
  <si>
    <t>Google</t>
  </si>
  <si>
    <t>Basic Formatting</t>
  </si>
  <si>
    <t>Date Formatting</t>
  </si>
  <si>
    <t>Custom Formatting</t>
  </si>
  <si>
    <t>Product Code</t>
  </si>
  <si>
    <t>Count of Geography</t>
  </si>
  <si>
    <t>Mean</t>
  </si>
  <si>
    <t>Standard Error</t>
  </si>
  <si>
    <t>Median</t>
  </si>
  <si>
    <t>Mode</t>
  </si>
  <si>
    <t>Standard Deviation</t>
  </si>
  <si>
    <t>Sample Variance</t>
  </si>
  <si>
    <t>Kurtosis</t>
  </si>
  <si>
    <t>Skewness</t>
  </si>
  <si>
    <t>Range</t>
  </si>
  <si>
    <t>Minimum</t>
  </si>
  <si>
    <t>Maximum</t>
  </si>
  <si>
    <t>Sum</t>
  </si>
  <si>
    <t>Count</t>
  </si>
  <si>
    <t>Point</t>
  </si>
  <si>
    <t>Rank</t>
  </si>
  <si>
    <t>Percent</t>
  </si>
  <si>
    <t>Column Labels</t>
  </si>
  <si>
    <t>Row Labels</t>
  </si>
  <si>
    <t>Grand Total</t>
  </si>
  <si>
    <t>Average of EstimatedSalary</t>
  </si>
  <si>
    <t>Count of Gender</t>
  </si>
  <si>
    <t>Error Checking</t>
  </si>
  <si>
    <t>Salary / Balance</t>
  </si>
  <si>
    <t>Age Bins</t>
  </si>
  <si>
    <t>Text to Columns</t>
  </si>
  <si>
    <t>Akshay Pandurang Paunikar</t>
  </si>
  <si>
    <t>Ankita Pandurang Paunikar</t>
  </si>
  <si>
    <t>Aniket Pandurang Paunikar</t>
  </si>
  <si>
    <t>Pushapa Pandurang Paunikar</t>
  </si>
  <si>
    <t>Pandurang Rama Paunikar</t>
  </si>
  <si>
    <t>Kautuka Dattatray Tawale</t>
  </si>
  <si>
    <t>Akshay</t>
  </si>
  <si>
    <t>Pandurang</t>
  </si>
  <si>
    <t>Paunikar</t>
  </si>
  <si>
    <t>Ankita</t>
  </si>
  <si>
    <t>Aniket</t>
  </si>
  <si>
    <t>Pushapa</t>
  </si>
  <si>
    <t>Rama</t>
  </si>
  <si>
    <t>Kautuka</t>
  </si>
  <si>
    <t>Dattatray</t>
  </si>
  <si>
    <t>Tawale</t>
  </si>
  <si>
    <t>Middle Name</t>
  </si>
  <si>
    <t>What IF Analysis</t>
  </si>
  <si>
    <t>It is the process of changing the values in a cell to see how those changes wil affect the outcome of the formulas on the worksheet. Three kinds of what-if analysis tools come with excel:</t>
  </si>
  <si>
    <t>Scenarios</t>
  </si>
  <si>
    <t>Goal Seek</t>
  </si>
  <si>
    <t>Data Tables</t>
  </si>
  <si>
    <t>Scenarios and data tables take sets of input values and determine possible results.</t>
  </si>
  <si>
    <t>Sr No</t>
  </si>
  <si>
    <t>Semester 1</t>
  </si>
  <si>
    <t>Semester 2</t>
  </si>
  <si>
    <t>Semester 3</t>
  </si>
  <si>
    <t>Semester 4</t>
  </si>
  <si>
    <t>Project</t>
  </si>
  <si>
    <t>Overall Score</t>
  </si>
  <si>
    <t>Target</t>
  </si>
  <si>
    <t>Marks Obtained</t>
  </si>
  <si>
    <t>Common Excel Shortcut Keys</t>
  </si>
  <si>
    <t>Ctrl + W</t>
  </si>
  <si>
    <t>Close the spreadsheet</t>
  </si>
  <si>
    <t>Ctrl + O</t>
  </si>
  <si>
    <t>Open the spreadsheet</t>
  </si>
  <si>
    <t>Alt + H</t>
  </si>
  <si>
    <t>Go to the home tab</t>
  </si>
  <si>
    <t>Ctrl + S</t>
  </si>
  <si>
    <t>Save a spreadsheet</t>
  </si>
  <si>
    <t>Ctrl + C</t>
  </si>
  <si>
    <t>Copy</t>
  </si>
  <si>
    <t>Ctrl + V</t>
  </si>
  <si>
    <t>Paste</t>
  </si>
  <si>
    <t>Ctrl + Z</t>
  </si>
  <si>
    <t>Undo</t>
  </si>
  <si>
    <t>Delete</t>
  </si>
  <si>
    <t>Remove contents</t>
  </si>
  <si>
    <t>Alt + H, H</t>
  </si>
  <si>
    <t>Choose fill color</t>
  </si>
  <si>
    <t>Ctrl + X</t>
  </si>
  <si>
    <t>Cut</t>
  </si>
  <si>
    <t>Alt + N</t>
  </si>
  <si>
    <t>Insert tab</t>
  </si>
  <si>
    <t>Ctrl + B</t>
  </si>
  <si>
    <t>Bold</t>
  </si>
  <si>
    <r>
      <t xml:space="preserve">Excel Function : </t>
    </r>
    <r>
      <rPr>
        <sz val="11"/>
        <color theme="1"/>
        <rFont val="Calibri"/>
        <family val="2"/>
        <scheme val="minor"/>
      </rPr>
      <t>A predefined formula to that performs calculations.</t>
    </r>
  </si>
  <si>
    <t>Salary of Females who has credit card in France</t>
  </si>
  <si>
    <t>Salary of person in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</si>
</sst>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ABZY&quot;0"/>
  </numFmts>
  <fonts count="16"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22"/>
      <color theme="1"/>
      <name val="Calibri"/>
      <family val="2"/>
      <scheme val="minor"/>
    </font>
    <font>
      <b/>
      <sz val="20"/>
      <color theme="1"/>
      <name val="Calibri"/>
      <family val="2"/>
      <scheme val="minor"/>
    </font>
    <font>
      <b/>
      <sz val="16"/>
      <color theme="1"/>
      <name val="Calibri"/>
      <family val="2"/>
      <scheme val="minor"/>
    </font>
    <font>
      <b/>
      <sz val="18"/>
      <color theme="1"/>
      <name val="Calibri"/>
      <family val="2"/>
      <scheme val="minor"/>
    </font>
    <font>
      <b/>
      <sz val="20"/>
      <color theme="4"/>
      <name val="Calibri"/>
      <family val="2"/>
      <scheme val="minor"/>
    </font>
    <font>
      <b/>
      <sz val="14"/>
      <color theme="1"/>
      <name val="Calibri"/>
      <family val="2"/>
      <scheme val="minor"/>
    </font>
    <font>
      <b/>
      <sz val="28"/>
      <color theme="8" tint="-0.249977111117893"/>
      <name val="Calibri"/>
      <family val="2"/>
      <scheme val="minor"/>
    </font>
    <font>
      <i/>
      <sz val="11"/>
      <color theme="1"/>
      <name val="Calibri"/>
      <family val="2"/>
      <scheme val="minor"/>
    </font>
    <font>
      <b/>
      <i/>
      <sz val="11"/>
      <color theme="1"/>
      <name val="Calibri"/>
      <family val="2"/>
      <scheme val="minor"/>
    </font>
    <font>
      <b/>
      <sz val="18"/>
      <color rgb="FFFF0000"/>
      <name val="Calibri"/>
      <family val="2"/>
      <scheme val="minor"/>
    </font>
    <font>
      <b/>
      <sz val="18"/>
      <color theme="0"/>
      <name val="Calibri"/>
      <family val="2"/>
      <scheme val="minor"/>
    </font>
    <font>
      <sz val="8"/>
      <name val="Calibri"/>
      <family val="2"/>
      <scheme val="minor"/>
    </font>
  </fonts>
  <fills count="17">
    <fill>
      <patternFill patternType="none"/>
    </fill>
    <fill>
      <patternFill patternType="gray125"/>
    </fill>
    <fill>
      <patternFill patternType="solid">
        <fgColor theme="7"/>
        <bgColor indexed="64"/>
      </patternFill>
    </fill>
    <fill>
      <patternFill patternType="solid">
        <fgColor rgb="FF92D050"/>
        <bgColor indexed="64"/>
      </patternFill>
    </fill>
    <fill>
      <patternFill patternType="solid">
        <fgColor theme="4" tint="0.79998168889431442"/>
        <bgColor theme="4" tint="0.79998168889431442"/>
      </patternFill>
    </fill>
    <fill>
      <patternFill patternType="solid">
        <fgColor rgb="FFFFC000"/>
        <bgColor indexed="64"/>
      </patternFill>
    </fill>
    <fill>
      <patternFill patternType="solid">
        <fgColor theme="1"/>
        <bgColor indexed="64"/>
      </patternFill>
    </fill>
    <fill>
      <patternFill patternType="solid">
        <fgColor rgb="FFFFFF00"/>
        <bgColor indexed="64"/>
      </patternFill>
    </fill>
    <fill>
      <patternFill patternType="solid">
        <fgColor theme="9"/>
        <bgColor indexed="64"/>
      </patternFill>
    </fill>
    <fill>
      <patternFill patternType="solid">
        <fgColor theme="2"/>
        <bgColor indexed="64"/>
      </patternFill>
    </fill>
    <fill>
      <patternFill patternType="solid">
        <fgColor theme="5"/>
        <bgColor indexed="64"/>
      </patternFill>
    </fill>
    <fill>
      <patternFill patternType="solid">
        <fgColor theme="7" tint="0.59999389629810485"/>
        <bgColor indexed="64"/>
      </patternFill>
    </fill>
    <fill>
      <patternFill patternType="solid">
        <fgColor theme="0" tint="-0.14999847407452621"/>
        <bgColor indexed="64"/>
      </patternFill>
    </fill>
    <fill>
      <gradientFill type="path" left="0.5" right="0.5" top="0.5" bottom="0.5">
        <stop position="0">
          <color theme="9"/>
        </stop>
        <stop position="1">
          <color rgb="FFFF0000"/>
        </stop>
      </gradientFill>
    </fill>
    <fill>
      <patternFill patternType="solid">
        <fgColor theme="9" tint="0.39997558519241921"/>
        <bgColor indexed="64"/>
      </patternFill>
    </fill>
    <fill>
      <patternFill patternType="solid">
        <fgColor theme="1" tint="4.9989318521683403E-2"/>
        <bgColor indexed="64"/>
      </patternFill>
    </fill>
    <fill>
      <patternFill patternType="solid">
        <fgColor theme="8" tint="0.39997558519241921"/>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76">
    <xf numFmtId="0" fontId="0" fillId="0" borderId="0" xfId="0"/>
    <xf numFmtId="14" fontId="0" fillId="0" borderId="0" xfId="0" applyNumberFormat="1"/>
    <xf numFmtId="14" fontId="1" fillId="0" borderId="0" xfId="0" applyNumberFormat="1" applyFont="1"/>
    <xf numFmtId="0" fontId="0" fillId="0" borderId="0" xfId="0" applyNumberFormat="1"/>
    <xf numFmtId="0" fontId="1" fillId="0" borderId="0" xfId="0" applyFont="1"/>
    <xf numFmtId="0" fontId="1" fillId="0" borderId="0" xfId="0" applyFont="1" applyAlignment="1">
      <alignment horizontal="center" vertical="center"/>
    </xf>
    <xf numFmtId="0" fontId="1" fillId="0" borderId="0" xfId="0" applyFont="1" applyAlignment="1">
      <alignment horizontal="left" vertical="center"/>
    </xf>
    <xf numFmtId="0" fontId="1" fillId="2" borderId="0" xfId="0" applyFont="1" applyFill="1"/>
    <xf numFmtId="0" fontId="0" fillId="0" borderId="0" xfId="0"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0" borderId="1" xfId="0" applyFont="1" applyBorder="1" applyAlignment="1">
      <alignment horizontal="center" vertical="center"/>
    </xf>
    <xf numFmtId="0" fontId="1" fillId="2" borderId="0" xfId="0" applyFont="1" applyFill="1" applyAlignment="1">
      <alignment horizontal="center" vertical="center"/>
    </xf>
    <xf numFmtId="0" fontId="1" fillId="5" borderId="0" xfId="0" applyFont="1" applyFill="1" applyAlignment="1">
      <alignment horizontal="center" vertical="center"/>
    </xf>
    <xf numFmtId="0" fontId="1" fillId="3" borderId="2" xfId="0" applyFont="1" applyFill="1" applyBorder="1"/>
    <xf numFmtId="0" fontId="1" fillId="3" borderId="3" xfId="0" applyFont="1" applyFill="1" applyBorder="1"/>
    <xf numFmtId="0" fontId="1" fillId="3" borderId="4" xfId="0" applyFont="1" applyFill="1" applyBorder="1"/>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0" fillId="0" borderId="9" xfId="0" applyBorder="1"/>
    <xf numFmtId="0" fontId="0" fillId="0" borderId="7" xfId="0" applyBorder="1"/>
    <xf numFmtId="0" fontId="4" fillId="3" borderId="0" xfId="0" applyFont="1" applyFill="1"/>
    <xf numFmtId="0" fontId="0" fillId="0" borderId="5" xfId="0" applyBorder="1"/>
    <xf numFmtId="0" fontId="0" fillId="0" borderId="1" xfId="0" applyBorder="1"/>
    <xf numFmtId="0" fontId="0" fillId="0" borderId="6" xfId="0" applyBorder="1"/>
    <xf numFmtId="0" fontId="0" fillId="0" borderId="8" xfId="0" applyBorder="1"/>
    <xf numFmtId="0" fontId="1" fillId="7" borderId="1" xfId="0" applyFont="1" applyFill="1" applyBorder="1" applyAlignment="1">
      <alignment horizontal="center" vertical="center"/>
    </xf>
    <xf numFmtId="0" fontId="0" fillId="8" borderId="1" xfId="0" applyFill="1" applyBorder="1" applyAlignment="1">
      <alignment horizontal="center" vertical="center"/>
    </xf>
    <xf numFmtId="0" fontId="6" fillId="9" borderId="1" xfId="0" applyFont="1" applyFill="1" applyBorder="1" applyAlignment="1">
      <alignment horizontal="center" vertical="center"/>
    </xf>
    <xf numFmtId="0" fontId="7" fillId="10" borderId="1" xfId="0" applyFont="1" applyFill="1" applyBorder="1" applyAlignment="1">
      <alignment horizontal="center" vertical="center"/>
    </xf>
    <xf numFmtId="0" fontId="1" fillId="0" borderId="1" xfId="0" applyFont="1" applyBorder="1"/>
    <xf numFmtId="0" fontId="8" fillId="0" borderId="0" xfId="0" applyFont="1"/>
    <xf numFmtId="0" fontId="9" fillId="11" borderId="1" xfId="0" applyFont="1" applyFill="1" applyBorder="1"/>
    <xf numFmtId="0" fontId="0" fillId="12" borderId="1" xfId="0" applyFill="1" applyBorder="1" applyAlignment="1">
      <alignment horizontal="center" vertical="center"/>
    </xf>
    <xf numFmtId="164" fontId="0" fillId="12" borderId="1" xfId="0" applyNumberFormat="1" applyFill="1" applyBorder="1" applyAlignment="1">
      <alignment horizontal="right" vertical="center"/>
    </xf>
    <xf numFmtId="0" fontId="0" fillId="13" borderId="1" xfId="0" applyFill="1" applyBorder="1" applyAlignment="1">
      <alignment horizontal="center" vertical="center"/>
    </xf>
    <xf numFmtId="0" fontId="1" fillId="12" borderId="1" xfId="0" applyFont="1" applyFill="1" applyBorder="1" applyAlignment="1">
      <alignment horizontal="center" vertical="center"/>
    </xf>
    <xf numFmtId="0" fontId="10" fillId="0" borderId="0" xfId="0" applyFont="1"/>
    <xf numFmtId="164" fontId="0" fillId="0" borderId="1" xfId="0" applyNumberFormat="1" applyBorder="1"/>
    <xf numFmtId="165" fontId="0" fillId="0" borderId="0" xfId="0" applyNumberFormat="1"/>
    <xf numFmtId="0" fontId="0" fillId="0" borderId="0" xfId="0" pivotButton="1"/>
    <xf numFmtId="0" fontId="11" fillId="0" borderId="1" xfId="0" applyFont="1" applyFill="1" applyBorder="1" applyAlignment="1">
      <alignment horizontal="center"/>
    </xf>
    <xf numFmtId="0" fontId="0" fillId="0" borderId="1" xfId="0" applyFill="1" applyBorder="1" applyAlignment="1"/>
    <xf numFmtId="0" fontId="12" fillId="14" borderId="1" xfId="0" applyFont="1" applyFill="1" applyBorder="1" applyAlignment="1">
      <alignment horizontal="center"/>
    </xf>
    <xf numFmtId="0" fontId="1" fillId="14" borderId="1" xfId="0" applyFont="1" applyFill="1" applyBorder="1" applyAlignment="1"/>
    <xf numFmtId="10" fontId="0" fillId="0" borderId="0" xfId="0" applyNumberFormat="1" applyFill="1" applyBorder="1" applyAlignment="1"/>
    <xf numFmtId="0" fontId="11" fillId="0" borderId="0" xfId="0" applyFont="1" applyFill="1" applyBorder="1" applyAlignment="1">
      <alignment horizontal="center"/>
    </xf>
    <xf numFmtId="0" fontId="0" fillId="0" borderId="1" xfId="0" applyNumberFormat="1" applyFill="1" applyBorder="1" applyAlignment="1"/>
    <xf numFmtId="10" fontId="0" fillId="0" borderId="1" xfId="0" applyNumberFormat="1" applyFill="1" applyBorder="1" applyAlignment="1"/>
    <xf numFmtId="0" fontId="1" fillId="14" borderId="1" xfId="0" applyFont="1" applyFill="1" applyBorder="1"/>
    <xf numFmtId="0" fontId="0" fillId="0" borderId="0" xfId="0" applyAlignment="1">
      <alignment horizontal="left"/>
    </xf>
    <xf numFmtId="0" fontId="0" fillId="0" borderId="1" xfId="0" pivotButton="1" applyBorder="1"/>
    <xf numFmtId="0" fontId="0" fillId="0" borderId="1" xfId="0" applyBorder="1" applyAlignment="1">
      <alignment horizontal="left"/>
    </xf>
    <xf numFmtId="0" fontId="0" fillId="0" borderId="1" xfId="0" applyNumberFormat="1" applyBorder="1"/>
    <xf numFmtId="49" fontId="0" fillId="0" borderId="1" xfId="0" applyNumberFormat="1" applyBorder="1"/>
    <xf numFmtId="0" fontId="1" fillId="16" borderId="1" xfId="0" applyFont="1" applyFill="1" applyBorder="1"/>
    <xf numFmtId="0" fontId="1" fillId="8" borderId="1" xfId="0" applyFont="1" applyFill="1" applyBorder="1"/>
    <xf numFmtId="0" fontId="1" fillId="8" borderId="1" xfId="0" applyFont="1" applyFill="1" applyBorder="1" applyAlignment="1">
      <alignment horizontal="center" vertical="center"/>
    </xf>
    <xf numFmtId="0" fontId="9" fillId="0" borderId="0" xfId="0" applyFont="1"/>
    <xf numFmtId="0" fontId="5" fillId="9" borderId="0" xfId="0" applyFont="1" applyFill="1" applyAlignment="1">
      <alignment horizontal="center" vertical="center"/>
    </xf>
    <xf numFmtId="0" fontId="1" fillId="9" borderId="0" xfId="0" applyFont="1" applyFill="1" applyAlignment="1">
      <alignment horizontal="center" vertical="center"/>
    </xf>
    <xf numFmtId="0" fontId="13" fillId="15" borderId="0" xfId="0" applyFont="1" applyFill="1" applyAlignment="1">
      <alignment horizontal="center" vertical="center"/>
    </xf>
    <xf numFmtId="0" fontId="0" fillId="0" borderId="0" xfId="0" applyAlignment="1">
      <alignment horizontal="center" vertical="center"/>
    </xf>
    <xf numFmtId="0" fontId="1" fillId="16" borderId="0" xfId="0" applyFont="1" applyFill="1" applyAlignment="1">
      <alignment horizontal="center" vertical="center"/>
    </xf>
    <xf numFmtId="0" fontId="1" fillId="0" borderId="0" xfId="0" applyFont="1" applyAlignment="1">
      <alignment horizontal="center" vertical="center"/>
    </xf>
    <xf numFmtId="0" fontId="14" fillId="8" borderId="0" xfId="0" applyFont="1" applyFill="1" applyAlignment="1"/>
    <xf numFmtId="0" fontId="0" fillId="0" borderId="0" xfId="0" applyAlignment="1"/>
  </cellXfs>
  <cellStyles count="1">
    <cellStyle name="Normal" xfId="0" builtinId="0"/>
  </cellStyles>
  <dxfs count="64">
    <dxf>
      <fill>
        <patternFill>
          <bgColor rgb="FFC00000"/>
        </patternFill>
      </fill>
    </dxf>
    <dxf>
      <fill>
        <patternFill>
          <bgColor rgb="FF92D050"/>
        </patternFill>
      </fill>
    </dxf>
    <dxf>
      <fill>
        <patternFill>
          <bgColor rgb="FFC0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006100"/>
      </font>
      <fill>
        <patternFill>
          <bgColor rgb="FFC6EFCE"/>
        </patternFill>
      </fill>
    </dxf>
    <dxf>
      <fill>
        <patternFill>
          <bgColor theme="9"/>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ont>
        <color rgb="FF006100"/>
      </font>
      <fill>
        <patternFill>
          <bgColor rgb="FFC6EFCE"/>
        </patternFill>
      </fill>
    </dxf>
    <dxf>
      <fill>
        <patternFill>
          <bgColor theme="9"/>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outline="0">
        <left style="thin">
          <color auto="1"/>
        </left>
        <right style="thin">
          <color auto="1"/>
        </right>
        <top/>
        <bottom/>
      </border>
    </dxf>
    <dxf>
      <alignment horizontal="center" vertical="center"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alignment horizontal="center" vertical="center" textRotation="0" wrapText="0" indent="0" justifyLastLine="0" shrinkToFit="0" readingOrder="0"/>
    </dxf>
    <dxf>
      <border>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for Data Science.xlsx]Sheet4!PivotTable19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Geography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France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Sheet4!$A$5:$A$6</c:f>
              <c:strCache>
                <c:ptCount val="2"/>
                <c:pt idx="0">
                  <c:v>Female</c:v>
                </c:pt>
                <c:pt idx="1">
                  <c:v>Male</c:v>
                </c:pt>
              </c:strCache>
            </c:strRef>
          </c:cat>
          <c:val>
            <c:numRef>
              <c:f>Sheet4!$B$5:$B$6</c:f>
              <c:numCache>
                <c:formatCode>General</c:formatCode>
                <c:ptCount val="2"/>
                <c:pt idx="0">
                  <c:v>6</c:v>
                </c:pt>
                <c:pt idx="1">
                  <c:v>4</c:v>
                </c:pt>
              </c:numCache>
            </c:numRef>
          </c:val>
          <c:extLst>
            <c:ext xmlns:c16="http://schemas.microsoft.com/office/drawing/2014/chart" uri="{C3380CC4-5D6E-409C-BE32-E72D297353CC}">
              <c16:uniqueId val="{00000000-F4A8-4255-93AF-FD907C10271F}"/>
            </c:ext>
          </c:extLst>
        </c:ser>
        <c:ser>
          <c:idx val="1"/>
          <c:order val="1"/>
          <c:tx>
            <c:strRef>
              <c:f>Sheet4!$C$3:$C$4</c:f>
              <c:strCache>
                <c:ptCount val="1"/>
                <c:pt idx="0">
                  <c:v>Germany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Sheet4!$A$5:$A$6</c:f>
              <c:strCache>
                <c:ptCount val="2"/>
                <c:pt idx="0">
                  <c:v>Female</c:v>
                </c:pt>
                <c:pt idx="1">
                  <c:v>Male</c:v>
                </c:pt>
              </c:strCache>
            </c:strRef>
          </c:cat>
          <c:val>
            <c:numRef>
              <c:f>Sheet4!$C$5:$C$6</c:f>
              <c:numCache>
                <c:formatCode>General</c:formatCode>
                <c:ptCount val="2"/>
                <c:pt idx="0">
                  <c:v>1</c:v>
                </c:pt>
                <c:pt idx="1">
                  <c:v>2</c:v>
                </c:pt>
              </c:numCache>
            </c:numRef>
          </c:val>
          <c:extLst>
            <c:ext xmlns:c16="http://schemas.microsoft.com/office/drawing/2014/chart" uri="{C3380CC4-5D6E-409C-BE32-E72D297353CC}">
              <c16:uniqueId val="{00000003-F4A8-4255-93AF-FD907C10271F}"/>
            </c:ext>
          </c:extLst>
        </c:ser>
        <c:ser>
          <c:idx val="2"/>
          <c:order val="2"/>
          <c:tx>
            <c:strRef>
              <c:f>Sheet4!$D$3:$D$4</c:f>
              <c:strCache>
                <c:ptCount val="1"/>
                <c:pt idx="0">
                  <c:v>Spain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Sheet4!$A$5:$A$6</c:f>
              <c:strCache>
                <c:ptCount val="2"/>
                <c:pt idx="0">
                  <c:v>Female</c:v>
                </c:pt>
                <c:pt idx="1">
                  <c:v>Male</c:v>
                </c:pt>
              </c:strCache>
            </c:strRef>
          </c:cat>
          <c:val>
            <c:numRef>
              <c:f>Sheet4!$D$5:$D$6</c:f>
              <c:numCache>
                <c:formatCode>General</c:formatCode>
                <c:ptCount val="2"/>
                <c:pt idx="0">
                  <c:v>4</c:v>
                </c:pt>
                <c:pt idx="1">
                  <c:v>3</c:v>
                </c:pt>
              </c:numCache>
            </c:numRef>
          </c:val>
          <c:extLst>
            <c:ext xmlns:c16="http://schemas.microsoft.com/office/drawing/2014/chart" uri="{C3380CC4-5D6E-409C-BE32-E72D297353CC}">
              <c16:uniqueId val="{00000004-F4A8-4255-93AF-FD907C10271F}"/>
            </c:ext>
          </c:extLst>
        </c:ser>
        <c:dLbls>
          <c:dLblPos val="outEnd"/>
          <c:showLegendKey val="0"/>
          <c:showVal val="1"/>
          <c:showCatName val="0"/>
          <c:showSerName val="0"/>
          <c:showPercent val="0"/>
          <c:showBubbleSize val="0"/>
        </c:dLbls>
        <c:gapWidth val="219"/>
        <c:overlap val="-27"/>
        <c:axId val="87145088"/>
        <c:axId val="87155904"/>
      </c:barChart>
      <c:catAx>
        <c:axId val="8714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55904"/>
        <c:crosses val="autoZero"/>
        <c:auto val="1"/>
        <c:lblAlgn val="ctr"/>
        <c:lblOffset val="100"/>
        <c:noMultiLvlLbl val="0"/>
      </c:catAx>
      <c:valAx>
        <c:axId val="87155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4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Credit Score and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'Data Analysis using Excel'!$A$4:$A$23</c:f>
              <c:numCache>
                <c:formatCode>General</c:formatCode>
                <c:ptCount val="20"/>
                <c:pt idx="0">
                  <c:v>619</c:v>
                </c:pt>
                <c:pt idx="1">
                  <c:v>608</c:v>
                </c:pt>
                <c:pt idx="2">
                  <c:v>502</c:v>
                </c:pt>
                <c:pt idx="3">
                  <c:v>699</c:v>
                </c:pt>
                <c:pt idx="4">
                  <c:v>850</c:v>
                </c:pt>
                <c:pt idx="5">
                  <c:v>645</c:v>
                </c:pt>
                <c:pt idx="6">
                  <c:v>822</c:v>
                </c:pt>
                <c:pt idx="7">
                  <c:v>376</c:v>
                </c:pt>
                <c:pt idx="8">
                  <c:v>501</c:v>
                </c:pt>
                <c:pt idx="9">
                  <c:v>684</c:v>
                </c:pt>
                <c:pt idx="10">
                  <c:v>528</c:v>
                </c:pt>
                <c:pt idx="11">
                  <c:v>497</c:v>
                </c:pt>
                <c:pt idx="12">
                  <c:v>476</c:v>
                </c:pt>
                <c:pt idx="13">
                  <c:v>549</c:v>
                </c:pt>
                <c:pt idx="14">
                  <c:v>635</c:v>
                </c:pt>
                <c:pt idx="15">
                  <c:v>616</c:v>
                </c:pt>
                <c:pt idx="16">
                  <c:v>653</c:v>
                </c:pt>
                <c:pt idx="17">
                  <c:v>549</c:v>
                </c:pt>
                <c:pt idx="18">
                  <c:v>587</c:v>
                </c:pt>
                <c:pt idx="19">
                  <c:v>726</c:v>
                </c:pt>
              </c:numCache>
            </c:numRef>
          </c:xVal>
          <c:yVal>
            <c:numRef>
              <c:f>'Data Analysis using Excel'!$B$4:$B$23</c:f>
              <c:numCache>
                <c:formatCode>General</c:formatCode>
                <c:ptCount val="20"/>
                <c:pt idx="0">
                  <c:v>42</c:v>
                </c:pt>
                <c:pt idx="1">
                  <c:v>41</c:v>
                </c:pt>
                <c:pt idx="2">
                  <c:v>42</c:v>
                </c:pt>
                <c:pt idx="3">
                  <c:v>39</c:v>
                </c:pt>
                <c:pt idx="4">
                  <c:v>43</c:v>
                </c:pt>
                <c:pt idx="5">
                  <c:v>44</c:v>
                </c:pt>
                <c:pt idx="6">
                  <c:v>50</c:v>
                </c:pt>
                <c:pt idx="7">
                  <c:v>29</c:v>
                </c:pt>
                <c:pt idx="8">
                  <c:v>44</c:v>
                </c:pt>
                <c:pt idx="9">
                  <c:v>27</c:v>
                </c:pt>
                <c:pt idx="10">
                  <c:v>31</c:v>
                </c:pt>
                <c:pt idx="11">
                  <c:v>24</c:v>
                </c:pt>
                <c:pt idx="12">
                  <c:v>34</c:v>
                </c:pt>
                <c:pt idx="13">
                  <c:v>25</c:v>
                </c:pt>
                <c:pt idx="14">
                  <c:v>35</c:v>
                </c:pt>
                <c:pt idx="15">
                  <c:v>45</c:v>
                </c:pt>
                <c:pt idx="16">
                  <c:v>58</c:v>
                </c:pt>
                <c:pt idx="17">
                  <c:v>24</c:v>
                </c:pt>
                <c:pt idx="18">
                  <c:v>45</c:v>
                </c:pt>
                <c:pt idx="19">
                  <c:v>24</c:v>
                </c:pt>
              </c:numCache>
            </c:numRef>
          </c:yVal>
          <c:smooth val="0"/>
          <c:extLst>
            <c:ext xmlns:c16="http://schemas.microsoft.com/office/drawing/2014/chart" uri="{C3380CC4-5D6E-409C-BE32-E72D297353CC}">
              <c16:uniqueId val="{00000000-A016-434F-8670-CCBBC2A4F124}"/>
            </c:ext>
          </c:extLst>
        </c:ser>
        <c:dLbls>
          <c:showLegendKey val="0"/>
          <c:showVal val="0"/>
          <c:showCatName val="0"/>
          <c:showSerName val="0"/>
          <c:showPercent val="0"/>
          <c:showBubbleSize val="0"/>
        </c:dLbls>
        <c:axId val="89402176"/>
        <c:axId val="89401344"/>
      </c:scatterChart>
      <c:valAx>
        <c:axId val="89402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01344"/>
        <c:crosses val="autoZero"/>
        <c:crossBetween val="midCat"/>
      </c:valAx>
      <c:valAx>
        <c:axId val="8940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021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Balance</a:t>
            </a:r>
            <a:r>
              <a:rPr lang="en-US" baseline="0"/>
              <a:t> and Estimated Salary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'Data Analysis using Excel'!$D$4:$D$23</c:f>
              <c:numCache>
                <c:formatCode>General</c:formatCode>
                <c:ptCount val="20"/>
                <c:pt idx="0">
                  <c:v>0</c:v>
                </c:pt>
                <c:pt idx="1">
                  <c:v>83807.86</c:v>
                </c:pt>
                <c:pt idx="2">
                  <c:v>159660.79999999999</c:v>
                </c:pt>
                <c:pt idx="3">
                  <c:v>0</c:v>
                </c:pt>
                <c:pt idx="4">
                  <c:v>125510.82</c:v>
                </c:pt>
                <c:pt idx="5">
                  <c:v>113755.78</c:v>
                </c:pt>
                <c:pt idx="6">
                  <c:v>0</c:v>
                </c:pt>
                <c:pt idx="7">
                  <c:v>115046.74</c:v>
                </c:pt>
                <c:pt idx="8">
                  <c:v>142051.07</c:v>
                </c:pt>
                <c:pt idx="9">
                  <c:v>134603.88</c:v>
                </c:pt>
                <c:pt idx="10">
                  <c:v>102016.72</c:v>
                </c:pt>
                <c:pt idx="11">
                  <c:v>0</c:v>
                </c:pt>
                <c:pt idx="12">
                  <c:v>0</c:v>
                </c:pt>
                <c:pt idx="13">
                  <c:v>0</c:v>
                </c:pt>
                <c:pt idx="14">
                  <c:v>0</c:v>
                </c:pt>
                <c:pt idx="15">
                  <c:v>143129.41</c:v>
                </c:pt>
                <c:pt idx="16">
                  <c:v>132602.88</c:v>
                </c:pt>
                <c:pt idx="17">
                  <c:v>0</c:v>
                </c:pt>
                <c:pt idx="18">
                  <c:v>0</c:v>
                </c:pt>
                <c:pt idx="19">
                  <c:v>0</c:v>
                </c:pt>
              </c:numCache>
            </c:numRef>
          </c:xVal>
          <c:yVal>
            <c:numRef>
              <c:f>'Data Analysis using Excel'!$E$4:$E$23</c:f>
              <c:numCache>
                <c:formatCode>General</c:formatCode>
                <c:ptCount val="20"/>
                <c:pt idx="0">
                  <c:v>101348.88</c:v>
                </c:pt>
                <c:pt idx="1">
                  <c:v>112542.58</c:v>
                </c:pt>
                <c:pt idx="2">
                  <c:v>113931.57</c:v>
                </c:pt>
                <c:pt idx="3">
                  <c:v>93826.63</c:v>
                </c:pt>
                <c:pt idx="4">
                  <c:v>79084.100000000006</c:v>
                </c:pt>
                <c:pt idx="5">
                  <c:v>149756.71</c:v>
                </c:pt>
                <c:pt idx="6">
                  <c:v>10062.799999999999</c:v>
                </c:pt>
                <c:pt idx="7">
                  <c:v>119346.88</c:v>
                </c:pt>
                <c:pt idx="8">
                  <c:v>74940.5</c:v>
                </c:pt>
                <c:pt idx="9">
                  <c:v>71725.73</c:v>
                </c:pt>
                <c:pt idx="10">
                  <c:v>80181.119999999995</c:v>
                </c:pt>
                <c:pt idx="11">
                  <c:v>76390.009999999995</c:v>
                </c:pt>
                <c:pt idx="12">
                  <c:v>26260.98</c:v>
                </c:pt>
                <c:pt idx="13">
                  <c:v>190857.79</c:v>
                </c:pt>
                <c:pt idx="14">
                  <c:v>65951.649999999994</c:v>
                </c:pt>
                <c:pt idx="15">
                  <c:v>64327.26</c:v>
                </c:pt>
                <c:pt idx="16">
                  <c:v>5097.67</c:v>
                </c:pt>
                <c:pt idx="17">
                  <c:v>14406.41</c:v>
                </c:pt>
                <c:pt idx="18">
                  <c:v>158684.81</c:v>
                </c:pt>
                <c:pt idx="19">
                  <c:v>54724.03</c:v>
                </c:pt>
              </c:numCache>
            </c:numRef>
          </c:yVal>
          <c:smooth val="0"/>
          <c:extLst>
            <c:ext xmlns:c16="http://schemas.microsoft.com/office/drawing/2014/chart" uri="{C3380CC4-5D6E-409C-BE32-E72D297353CC}">
              <c16:uniqueId val="{00000000-A0A4-40ED-BEFF-76CB9CD6B30C}"/>
            </c:ext>
          </c:extLst>
        </c:ser>
        <c:dLbls>
          <c:showLegendKey val="0"/>
          <c:showVal val="0"/>
          <c:showCatName val="0"/>
          <c:showSerName val="0"/>
          <c:showPercent val="0"/>
          <c:showBubbleSize val="0"/>
        </c:dLbls>
        <c:axId val="345802896"/>
        <c:axId val="346454032"/>
      </c:scatterChart>
      <c:valAx>
        <c:axId val="345802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454032"/>
        <c:crosses val="autoZero"/>
        <c:crossBetween val="midCat"/>
      </c:valAx>
      <c:valAx>
        <c:axId val="34645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8028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Tenure and Balance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'Data Analysis using Excel'!$C$4:$C$23</c:f>
              <c:numCache>
                <c:formatCode>General</c:formatCode>
                <c:ptCount val="20"/>
                <c:pt idx="0">
                  <c:v>2</c:v>
                </c:pt>
                <c:pt idx="1">
                  <c:v>1</c:v>
                </c:pt>
                <c:pt idx="2">
                  <c:v>8</c:v>
                </c:pt>
                <c:pt idx="3">
                  <c:v>1</c:v>
                </c:pt>
                <c:pt idx="4">
                  <c:v>2</c:v>
                </c:pt>
                <c:pt idx="5">
                  <c:v>8</c:v>
                </c:pt>
                <c:pt idx="6">
                  <c:v>7</c:v>
                </c:pt>
                <c:pt idx="7">
                  <c:v>4</c:v>
                </c:pt>
                <c:pt idx="8">
                  <c:v>4</c:v>
                </c:pt>
                <c:pt idx="9">
                  <c:v>2</c:v>
                </c:pt>
                <c:pt idx="10">
                  <c:v>6</c:v>
                </c:pt>
                <c:pt idx="11">
                  <c:v>3</c:v>
                </c:pt>
                <c:pt idx="12">
                  <c:v>10</c:v>
                </c:pt>
                <c:pt idx="13">
                  <c:v>5</c:v>
                </c:pt>
                <c:pt idx="14">
                  <c:v>7</c:v>
                </c:pt>
                <c:pt idx="15">
                  <c:v>3</c:v>
                </c:pt>
                <c:pt idx="16">
                  <c:v>1</c:v>
                </c:pt>
                <c:pt idx="17">
                  <c:v>9</c:v>
                </c:pt>
                <c:pt idx="18">
                  <c:v>6</c:v>
                </c:pt>
                <c:pt idx="19">
                  <c:v>6</c:v>
                </c:pt>
              </c:numCache>
            </c:numRef>
          </c:xVal>
          <c:yVal>
            <c:numRef>
              <c:f>'Data Analysis using Excel'!$D$4:$D$23</c:f>
              <c:numCache>
                <c:formatCode>General</c:formatCode>
                <c:ptCount val="20"/>
                <c:pt idx="0">
                  <c:v>0</c:v>
                </c:pt>
                <c:pt idx="1">
                  <c:v>83807.86</c:v>
                </c:pt>
                <c:pt idx="2">
                  <c:v>159660.79999999999</c:v>
                </c:pt>
                <c:pt idx="3">
                  <c:v>0</c:v>
                </c:pt>
                <c:pt idx="4">
                  <c:v>125510.82</c:v>
                </c:pt>
                <c:pt idx="5">
                  <c:v>113755.78</c:v>
                </c:pt>
                <c:pt idx="6">
                  <c:v>0</c:v>
                </c:pt>
                <c:pt idx="7">
                  <c:v>115046.74</c:v>
                </c:pt>
                <c:pt idx="8">
                  <c:v>142051.07</c:v>
                </c:pt>
                <c:pt idx="9">
                  <c:v>134603.88</c:v>
                </c:pt>
                <c:pt idx="10">
                  <c:v>102016.72</c:v>
                </c:pt>
                <c:pt idx="11">
                  <c:v>0</c:v>
                </c:pt>
                <c:pt idx="12">
                  <c:v>0</c:v>
                </c:pt>
                <c:pt idx="13">
                  <c:v>0</c:v>
                </c:pt>
                <c:pt idx="14">
                  <c:v>0</c:v>
                </c:pt>
                <c:pt idx="15">
                  <c:v>143129.41</c:v>
                </c:pt>
                <c:pt idx="16">
                  <c:v>132602.88</c:v>
                </c:pt>
                <c:pt idx="17">
                  <c:v>0</c:v>
                </c:pt>
                <c:pt idx="18">
                  <c:v>0</c:v>
                </c:pt>
                <c:pt idx="19">
                  <c:v>0</c:v>
                </c:pt>
              </c:numCache>
            </c:numRef>
          </c:yVal>
          <c:smooth val="0"/>
          <c:extLst>
            <c:ext xmlns:c16="http://schemas.microsoft.com/office/drawing/2014/chart" uri="{C3380CC4-5D6E-409C-BE32-E72D297353CC}">
              <c16:uniqueId val="{00000000-EC17-4A98-A3E6-09F667647F73}"/>
            </c:ext>
          </c:extLst>
        </c:ser>
        <c:dLbls>
          <c:showLegendKey val="0"/>
          <c:showVal val="0"/>
          <c:showCatName val="0"/>
          <c:showSerName val="0"/>
          <c:showPercent val="0"/>
          <c:showBubbleSize val="0"/>
        </c:dLbls>
        <c:axId val="341281088"/>
        <c:axId val="341281504"/>
      </c:scatterChart>
      <c:valAx>
        <c:axId val="341281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81504"/>
        <c:crosses val="autoZero"/>
        <c:crossBetween val="midCat"/>
      </c:valAx>
      <c:valAx>
        <c:axId val="34128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810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 Analysis using Excel'!$E$2:$E$3</c:f>
              <c:strCache>
                <c:ptCount val="2"/>
                <c:pt idx="1">
                  <c:v>EstimatedSalary</c:v>
                </c:pt>
              </c:strCache>
            </c:strRef>
          </c:tx>
          <c:spPr>
            <a:ln w="19050" cap="rnd">
              <a:noFill/>
              <a:round/>
            </a:ln>
            <a:effectLst/>
          </c:spPr>
          <c:marker>
            <c:symbol val="circle"/>
            <c:size val="5"/>
            <c:spPr>
              <a:solidFill>
                <a:schemeClr val="accent1"/>
              </a:solidFill>
              <a:ln w="9525">
                <a:solidFill>
                  <a:schemeClr val="accent1"/>
                </a:solidFill>
              </a:ln>
              <a:effectLst/>
            </c:spPr>
          </c:marker>
          <c:xVal>
            <c:numRef>
              <c:f>'Data Analysis using Excel'!$B$4:$B$23</c:f>
              <c:numCache>
                <c:formatCode>General</c:formatCode>
                <c:ptCount val="20"/>
                <c:pt idx="0">
                  <c:v>42</c:v>
                </c:pt>
                <c:pt idx="1">
                  <c:v>41</c:v>
                </c:pt>
                <c:pt idx="2">
                  <c:v>42</c:v>
                </c:pt>
                <c:pt idx="3">
                  <c:v>39</c:v>
                </c:pt>
                <c:pt idx="4">
                  <c:v>43</c:v>
                </c:pt>
                <c:pt idx="5">
                  <c:v>44</c:v>
                </c:pt>
                <c:pt idx="6">
                  <c:v>50</c:v>
                </c:pt>
                <c:pt idx="7">
                  <c:v>29</c:v>
                </c:pt>
                <c:pt idx="8">
                  <c:v>44</c:v>
                </c:pt>
                <c:pt idx="9">
                  <c:v>27</c:v>
                </c:pt>
                <c:pt idx="10">
                  <c:v>31</c:v>
                </c:pt>
                <c:pt idx="11">
                  <c:v>24</c:v>
                </c:pt>
                <c:pt idx="12">
                  <c:v>34</c:v>
                </c:pt>
                <c:pt idx="13">
                  <c:v>25</c:v>
                </c:pt>
                <c:pt idx="14">
                  <c:v>35</c:v>
                </c:pt>
                <c:pt idx="15">
                  <c:v>45</c:v>
                </c:pt>
                <c:pt idx="16">
                  <c:v>58</c:v>
                </c:pt>
                <c:pt idx="17">
                  <c:v>24</c:v>
                </c:pt>
                <c:pt idx="18">
                  <c:v>45</c:v>
                </c:pt>
                <c:pt idx="19">
                  <c:v>24</c:v>
                </c:pt>
              </c:numCache>
            </c:numRef>
          </c:xVal>
          <c:yVal>
            <c:numRef>
              <c:f>'Data Analysis using Excel'!$E$4:$E$23</c:f>
              <c:numCache>
                <c:formatCode>General</c:formatCode>
                <c:ptCount val="20"/>
                <c:pt idx="0">
                  <c:v>101348.88</c:v>
                </c:pt>
                <c:pt idx="1">
                  <c:v>112542.58</c:v>
                </c:pt>
                <c:pt idx="2">
                  <c:v>113931.57</c:v>
                </c:pt>
                <c:pt idx="3">
                  <c:v>93826.63</c:v>
                </c:pt>
                <c:pt idx="4">
                  <c:v>79084.100000000006</c:v>
                </c:pt>
                <c:pt idx="5">
                  <c:v>149756.71</c:v>
                </c:pt>
                <c:pt idx="6">
                  <c:v>10062.799999999999</c:v>
                </c:pt>
                <c:pt idx="7">
                  <c:v>119346.88</c:v>
                </c:pt>
                <c:pt idx="8">
                  <c:v>74940.5</c:v>
                </c:pt>
                <c:pt idx="9">
                  <c:v>71725.73</c:v>
                </c:pt>
                <c:pt idx="10">
                  <c:v>80181.119999999995</c:v>
                </c:pt>
                <c:pt idx="11">
                  <c:v>76390.009999999995</c:v>
                </c:pt>
                <c:pt idx="12">
                  <c:v>26260.98</c:v>
                </c:pt>
                <c:pt idx="13">
                  <c:v>190857.79</c:v>
                </c:pt>
                <c:pt idx="14">
                  <c:v>65951.649999999994</c:v>
                </c:pt>
                <c:pt idx="15">
                  <c:v>64327.26</c:v>
                </c:pt>
                <c:pt idx="16">
                  <c:v>5097.67</c:v>
                </c:pt>
                <c:pt idx="17">
                  <c:v>14406.41</c:v>
                </c:pt>
                <c:pt idx="18">
                  <c:v>158684.81</c:v>
                </c:pt>
                <c:pt idx="19">
                  <c:v>54724.03</c:v>
                </c:pt>
              </c:numCache>
            </c:numRef>
          </c:yVal>
          <c:smooth val="0"/>
          <c:extLst>
            <c:ext xmlns:c16="http://schemas.microsoft.com/office/drawing/2014/chart" uri="{C3380CC4-5D6E-409C-BE32-E72D297353CC}">
              <c16:uniqueId val="{00000000-6CF9-4649-AE28-3E5059FE5C30}"/>
            </c:ext>
          </c:extLst>
        </c:ser>
        <c:dLbls>
          <c:showLegendKey val="0"/>
          <c:showVal val="0"/>
          <c:showCatName val="0"/>
          <c:showSerName val="0"/>
          <c:showPercent val="0"/>
          <c:showBubbleSize val="0"/>
        </c:dLbls>
        <c:axId val="154702128"/>
        <c:axId val="154702960"/>
      </c:scatterChart>
      <c:valAx>
        <c:axId val="154702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02960"/>
        <c:crosses val="autoZero"/>
        <c:crossBetween val="midCat"/>
      </c:valAx>
      <c:valAx>
        <c:axId val="154702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021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for Data Science.xlsx]Pivot Table!PivotTable63</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Table'!$B$25</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Table'!$A$26:$A$29</c:f>
              <c:strCache>
                <c:ptCount val="3"/>
                <c:pt idx="0">
                  <c:v>France</c:v>
                </c:pt>
                <c:pt idx="1">
                  <c:v>Germany</c:v>
                </c:pt>
                <c:pt idx="2">
                  <c:v>Spain</c:v>
                </c:pt>
              </c:strCache>
            </c:strRef>
          </c:cat>
          <c:val>
            <c:numRef>
              <c:f>'Pivot Table'!$B$26:$B$29</c:f>
              <c:numCache>
                <c:formatCode>General</c:formatCode>
                <c:ptCount val="3"/>
                <c:pt idx="0">
                  <c:v>10</c:v>
                </c:pt>
                <c:pt idx="1">
                  <c:v>3</c:v>
                </c:pt>
                <c:pt idx="2">
                  <c:v>7</c:v>
                </c:pt>
              </c:numCache>
            </c:numRef>
          </c:val>
          <c:extLst>
            <c:ext xmlns:c16="http://schemas.microsoft.com/office/drawing/2014/chart" uri="{C3380CC4-5D6E-409C-BE32-E72D297353CC}">
              <c16:uniqueId val="{00000000-EB97-4E16-85F5-8964C8DBA68D}"/>
            </c:ext>
          </c:extLst>
        </c:ser>
        <c:dLbls>
          <c:dLblPos val="outEnd"/>
          <c:showLegendKey val="0"/>
          <c:showVal val="1"/>
          <c:showCatName val="0"/>
          <c:showSerName val="0"/>
          <c:showPercent val="0"/>
          <c:showBubbleSize val="0"/>
        </c:dLbls>
        <c:gapWidth val="444"/>
        <c:overlap val="-90"/>
        <c:axId val="1032424031"/>
        <c:axId val="1032424447"/>
      </c:barChart>
      <c:catAx>
        <c:axId val="1032424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032424447"/>
        <c:crosses val="autoZero"/>
        <c:auto val="1"/>
        <c:lblAlgn val="ctr"/>
        <c:lblOffset val="100"/>
        <c:noMultiLvlLbl val="0"/>
      </c:catAx>
      <c:valAx>
        <c:axId val="1032424447"/>
        <c:scaling>
          <c:orientation val="minMax"/>
        </c:scaling>
        <c:delete val="1"/>
        <c:axPos val="l"/>
        <c:numFmt formatCode="General" sourceLinked="1"/>
        <c:majorTickMark val="none"/>
        <c:minorTickMark val="none"/>
        <c:tickLblPos val="nextTo"/>
        <c:crossAx val="1032424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for Data Science.xlsx]Pivot Table!PivotTable64</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Table'!$B$32</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Table'!$A$33:$A$36</c:f>
              <c:strCache>
                <c:ptCount val="3"/>
                <c:pt idx="0">
                  <c:v>France</c:v>
                </c:pt>
                <c:pt idx="1">
                  <c:v>Germany</c:v>
                </c:pt>
                <c:pt idx="2">
                  <c:v>Spain</c:v>
                </c:pt>
              </c:strCache>
            </c:strRef>
          </c:cat>
          <c:val>
            <c:numRef>
              <c:f>'Pivot Table'!$B$33:$B$36</c:f>
              <c:numCache>
                <c:formatCode>General</c:formatCode>
                <c:ptCount val="3"/>
                <c:pt idx="0">
                  <c:v>81786.002999999997</c:v>
                </c:pt>
                <c:pt idx="1">
                  <c:v>62923.936666666676</c:v>
                </c:pt>
                <c:pt idx="2">
                  <c:v>93830.895714285711</c:v>
                </c:pt>
              </c:numCache>
            </c:numRef>
          </c:val>
          <c:extLst>
            <c:ext xmlns:c16="http://schemas.microsoft.com/office/drawing/2014/chart" uri="{C3380CC4-5D6E-409C-BE32-E72D297353CC}">
              <c16:uniqueId val="{00000000-B4F5-470E-975C-F7418CA16B53}"/>
            </c:ext>
          </c:extLst>
        </c:ser>
        <c:dLbls>
          <c:showLegendKey val="0"/>
          <c:showVal val="0"/>
          <c:showCatName val="0"/>
          <c:showSerName val="0"/>
          <c:showPercent val="0"/>
          <c:showBubbleSize val="0"/>
        </c:dLbls>
        <c:gapWidth val="315"/>
        <c:overlap val="-40"/>
        <c:axId val="973960015"/>
        <c:axId val="973959183"/>
      </c:barChart>
      <c:catAx>
        <c:axId val="9739600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73959183"/>
        <c:crosses val="autoZero"/>
        <c:auto val="1"/>
        <c:lblAlgn val="ctr"/>
        <c:lblOffset val="100"/>
        <c:noMultiLvlLbl val="0"/>
      </c:catAx>
      <c:valAx>
        <c:axId val="97395918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73960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for Data Science.xlsx]Pivot Table!PivotTable63</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400" i="1">
                <a:solidFill>
                  <a:schemeClr val="accent6"/>
                </a:solidFill>
              </a:rPr>
              <a:t>Male &amp; FemalE Count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Table'!$B$25</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Table'!$A$26:$A$29</c:f>
              <c:strCache>
                <c:ptCount val="3"/>
                <c:pt idx="0">
                  <c:v>France</c:v>
                </c:pt>
                <c:pt idx="1">
                  <c:v>Germany</c:v>
                </c:pt>
                <c:pt idx="2">
                  <c:v>Spain</c:v>
                </c:pt>
              </c:strCache>
            </c:strRef>
          </c:cat>
          <c:val>
            <c:numRef>
              <c:f>'Pivot Table'!$B$26:$B$29</c:f>
              <c:numCache>
                <c:formatCode>General</c:formatCode>
                <c:ptCount val="3"/>
                <c:pt idx="0">
                  <c:v>10</c:v>
                </c:pt>
                <c:pt idx="1">
                  <c:v>3</c:v>
                </c:pt>
                <c:pt idx="2">
                  <c:v>7</c:v>
                </c:pt>
              </c:numCache>
            </c:numRef>
          </c:val>
          <c:extLst>
            <c:ext xmlns:c16="http://schemas.microsoft.com/office/drawing/2014/chart" uri="{C3380CC4-5D6E-409C-BE32-E72D297353CC}">
              <c16:uniqueId val="{00000000-A920-49FA-8CC1-A80773A5FC1C}"/>
            </c:ext>
          </c:extLst>
        </c:ser>
        <c:dLbls>
          <c:dLblPos val="outEnd"/>
          <c:showLegendKey val="0"/>
          <c:showVal val="1"/>
          <c:showCatName val="0"/>
          <c:showSerName val="0"/>
          <c:showPercent val="0"/>
          <c:showBubbleSize val="0"/>
        </c:dLbls>
        <c:gapWidth val="444"/>
        <c:overlap val="-90"/>
        <c:axId val="1032424031"/>
        <c:axId val="1032424447"/>
      </c:barChart>
      <c:catAx>
        <c:axId val="1032424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032424447"/>
        <c:crosses val="autoZero"/>
        <c:auto val="1"/>
        <c:lblAlgn val="ctr"/>
        <c:lblOffset val="100"/>
        <c:noMultiLvlLbl val="0"/>
      </c:catAx>
      <c:valAx>
        <c:axId val="1032424447"/>
        <c:scaling>
          <c:orientation val="minMax"/>
        </c:scaling>
        <c:delete val="1"/>
        <c:axPos val="l"/>
        <c:numFmt formatCode="General" sourceLinked="1"/>
        <c:majorTickMark val="none"/>
        <c:minorTickMark val="none"/>
        <c:tickLblPos val="nextTo"/>
        <c:crossAx val="1032424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for Data Science.xlsx]Pivot Table!PivotTable64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Table'!$B$32</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Table'!$A$33:$A$36</c:f>
              <c:strCache>
                <c:ptCount val="3"/>
                <c:pt idx="0">
                  <c:v>France</c:v>
                </c:pt>
                <c:pt idx="1">
                  <c:v>Germany</c:v>
                </c:pt>
                <c:pt idx="2">
                  <c:v>Spain</c:v>
                </c:pt>
              </c:strCache>
            </c:strRef>
          </c:cat>
          <c:val>
            <c:numRef>
              <c:f>'Pivot Table'!$B$33:$B$36</c:f>
              <c:numCache>
                <c:formatCode>General</c:formatCode>
                <c:ptCount val="3"/>
                <c:pt idx="0">
                  <c:v>81786.002999999997</c:v>
                </c:pt>
                <c:pt idx="1">
                  <c:v>62923.936666666676</c:v>
                </c:pt>
                <c:pt idx="2">
                  <c:v>93830.895714285711</c:v>
                </c:pt>
              </c:numCache>
            </c:numRef>
          </c:val>
          <c:extLst>
            <c:ext xmlns:c16="http://schemas.microsoft.com/office/drawing/2014/chart" uri="{C3380CC4-5D6E-409C-BE32-E72D297353CC}">
              <c16:uniqueId val="{00000000-300E-4A44-B125-795E03AF26F2}"/>
            </c:ext>
          </c:extLst>
        </c:ser>
        <c:dLbls>
          <c:dLblPos val="outEnd"/>
          <c:showLegendKey val="0"/>
          <c:showVal val="1"/>
          <c:showCatName val="0"/>
          <c:showSerName val="0"/>
          <c:showPercent val="0"/>
          <c:showBubbleSize val="0"/>
        </c:dLbls>
        <c:gapWidth val="219"/>
        <c:overlap val="-27"/>
        <c:axId val="973960015"/>
        <c:axId val="973959183"/>
      </c:barChart>
      <c:catAx>
        <c:axId val="97396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959183"/>
        <c:crosses val="autoZero"/>
        <c:auto val="1"/>
        <c:lblAlgn val="ctr"/>
        <c:lblOffset val="100"/>
        <c:noMultiLvlLbl val="0"/>
      </c:catAx>
      <c:valAx>
        <c:axId val="973959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960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2</xdr:col>
      <xdr:colOff>198120</xdr:colOff>
      <xdr:row>3</xdr:row>
      <xdr:rowOff>274320</xdr:rowOff>
    </xdr:from>
    <xdr:to>
      <xdr:col>2</xdr:col>
      <xdr:colOff>1554480</xdr:colOff>
      <xdr:row>3</xdr:row>
      <xdr:rowOff>906780</xdr:rowOff>
    </xdr:to>
    <xdr:pic>
      <xdr:nvPicPr>
        <xdr:cNvPr id="2" name="Picture 1" descr="Download Netflix Logo in SVG Vector or PNG File Format - Logo.wine">
          <a:extLst>
            <a:ext uri="{FF2B5EF4-FFF2-40B4-BE49-F238E27FC236}">
              <a16:creationId xmlns:a16="http://schemas.microsoft.com/office/drawing/2014/main" id="{032EC911-469D-7E21-54BB-4F4496FBA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0" y="1082040"/>
          <a:ext cx="1356360" cy="632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243840</xdr:colOff>
      <xdr:row>7</xdr:row>
      <xdr:rowOff>236220</xdr:rowOff>
    </xdr:from>
    <xdr:to>
      <xdr:col>2</xdr:col>
      <xdr:colOff>1577340</xdr:colOff>
      <xdr:row>7</xdr:row>
      <xdr:rowOff>777240</xdr:rowOff>
    </xdr:to>
    <xdr:pic>
      <xdr:nvPicPr>
        <xdr:cNvPr id="3" name="Picture 2" descr="Images and videos | Amazon.com, Inc. - Press Room">
          <a:extLst>
            <a:ext uri="{FF2B5EF4-FFF2-40B4-BE49-F238E27FC236}">
              <a16:creationId xmlns:a16="http://schemas.microsoft.com/office/drawing/2014/main" id="{F57B6159-60B9-4A51-7C78-E50A355779C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55520" y="5143500"/>
          <a:ext cx="133350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160020</xdr:colOff>
      <xdr:row>4</xdr:row>
      <xdr:rowOff>144780</xdr:rowOff>
    </xdr:from>
    <xdr:to>
      <xdr:col>2</xdr:col>
      <xdr:colOff>1531619</xdr:colOff>
      <xdr:row>4</xdr:row>
      <xdr:rowOff>754380</xdr:rowOff>
    </xdr:to>
    <xdr:pic>
      <xdr:nvPicPr>
        <xdr:cNvPr id="4" name="Picture 3" descr="Ahead of Disney+'s India Launch, Hotstar Rebranded to Disney+ Hotstar |  Entertainment News">
          <a:extLst>
            <a:ext uri="{FF2B5EF4-FFF2-40B4-BE49-F238E27FC236}">
              <a16:creationId xmlns:a16="http://schemas.microsoft.com/office/drawing/2014/main" id="{AC129814-F456-4938-0CC3-CBA4DB5A31B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71700" y="2034540"/>
          <a:ext cx="1371599"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205740</xdr:colOff>
      <xdr:row>6</xdr:row>
      <xdr:rowOff>152400</xdr:rowOff>
    </xdr:from>
    <xdr:to>
      <xdr:col>2</xdr:col>
      <xdr:colOff>1501140</xdr:colOff>
      <xdr:row>6</xdr:row>
      <xdr:rowOff>746760</xdr:rowOff>
    </xdr:to>
    <xdr:pic>
      <xdr:nvPicPr>
        <xdr:cNvPr id="5" name="Picture 4" descr="Apple logo png images | PNGEgg">
          <a:extLst>
            <a:ext uri="{FF2B5EF4-FFF2-40B4-BE49-F238E27FC236}">
              <a16:creationId xmlns:a16="http://schemas.microsoft.com/office/drawing/2014/main" id="{9162A204-5629-0D01-43A6-2A2787AB7E0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217420" y="3992880"/>
          <a:ext cx="1295400" cy="594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190500</xdr:colOff>
      <xdr:row>5</xdr:row>
      <xdr:rowOff>160020</xdr:rowOff>
    </xdr:from>
    <xdr:to>
      <xdr:col>2</xdr:col>
      <xdr:colOff>1508760</xdr:colOff>
      <xdr:row>5</xdr:row>
      <xdr:rowOff>647700</xdr:rowOff>
    </xdr:to>
    <xdr:pic>
      <xdr:nvPicPr>
        <xdr:cNvPr id="6" name="Picture 5" descr="The Secret History of the Google Logo">
          <a:extLst>
            <a:ext uri="{FF2B5EF4-FFF2-40B4-BE49-F238E27FC236}">
              <a16:creationId xmlns:a16="http://schemas.microsoft.com/office/drawing/2014/main" id="{201C72EC-DF00-5C5F-99E2-C72D0221563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202180" y="3032760"/>
          <a:ext cx="1318260"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480060</xdr:colOff>
      <xdr:row>0</xdr:row>
      <xdr:rowOff>64770</xdr:rowOff>
    </xdr:from>
    <xdr:to>
      <xdr:col>11</xdr:col>
      <xdr:colOff>594360</xdr:colOff>
      <xdr:row>15</xdr:row>
      <xdr:rowOff>64770</xdr:rowOff>
    </xdr:to>
    <xdr:graphicFrame macro="">
      <xdr:nvGraphicFramePr>
        <xdr:cNvPr id="2" name="Chart 1">
          <a:extLst>
            <a:ext uri="{FF2B5EF4-FFF2-40B4-BE49-F238E27FC236}">
              <a16:creationId xmlns:a16="http://schemas.microsoft.com/office/drawing/2014/main" id="{4B6CD501-F5A7-4E8F-7C7D-C74AA5B78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320040</xdr:colOff>
      <xdr:row>0</xdr:row>
      <xdr:rowOff>125730</xdr:rowOff>
    </xdr:from>
    <xdr:to>
      <xdr:col>10</xdr:col>
      <xdr:colOff>167640</xdr:colOff>
      <xdr:row>10</xdr:row>
      <xdr:rowOff>152400</xdr:rowOff>
    </xdr:to>
    <xdr:graphicFrame macro="">
      <xdr:nvGraphicFramePr>
        <xdr:cNvPr id="2" name="Chart 1">
          <a:extLst>
            <a:ext uri="{FF2B5EF4-FFF2-40B4-BE49-F238E27FC236}">
              <a16:creationId xmlns:a16="http://schemas.microsoft.com/office/drawing/2014/main" id="{1401976C-305E-1358-ED24-497013BCB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480060</xdr:colOff>
      <xdr:row>0</xdr:row>
      <xdr:rowOff>0</xdr:rowOff>
    </xdr:from>
    <xdr:to>
      <xdr:col>17</xdr:col>
      <xdr:colOff>419100</xdr:colOff>
      <xdr:row>9</xdr:row>
      <xdr:rowOff>114300</xdr:rowOff>
    </xdr:to>
    <xdr:graphicFrame macro="">
      <xdr:nvGraphicFramePr>
        <xdr:cNvPr id="3" name="Chart 2">
          <a:extLst>
            <a:ext uri="{FF2B5EF4-FFF2-40B4-BE49-F238E27FC236}">
              <a16:creationId xmlns:a16="http://schemas.microsoft.com/office/drawing/2014/main" id="{8A27C442-8CFB-7EB0-78B3-6759B3945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289560</xdr:colOff>
      <xdr:row>11</xdr:row>
      <xdr:rowOff>64770</xdr:rowOff>
    </xdr:from>
    <xdr:to>
      <xdr:col>9</xdr:col>
      <xdr:colOff>144780</xdr:colOff>
      <xdr:row>22</xdr:row>
      <xdr:rowOff>68580</xdr:rowOff>
    </xdr:to>
    <xdr:graphicFrame macro="">
      <xdr:nvGraphicFramePr>
        <xdr:cNvPr id="4" name="Chart 3">
          <a:extLst>
            <a:ext uri="{FF2B5EF4-FFF2-40B4-BE49-F238E27FC236}">
              <a16:creationId xmlns:a16="http://schemas.microsoft.com/office/drawing/2014/main" id="{7D9BA454-2EBF-DB40-A904-335CEE9C1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91440</xdr:colOff>
      <xdr:row>10</xdr:row>
      <xdr:rowOff>83820</xdr:rowOff>
    </xdr:from>
    <xdr:to>
      <xdr:col>15</xdr:col>
      <xdr:colOff>419100</xdr:colOff>
      <xdr:row>20</xdr:row>
      <xdr:rowOff>3810</xdr:rowOff>
    </xdr:to>
    <xdr:graphicFrame macro="">
      <xdr:nvGraphicFramePr>
        <xdr:cNvPr id="5" name="Chart 4">
          <a:extLst>
            <a:ext uri="{FF2B5EF4-FFF2-40B4-BE49-F238E27FC236}">
              <a16:creationId xmlns:a16="http://schemas.microsoft.com/office/drawing/2014/main" id="{994313B9-3709-95ED-6C34-6A85AF2B6D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518160</xdr:colOff>
      <xdr:row>24</xdr:row>
      <xdr:rowOff>38101</xdr:rowOff>
    </xdr:from>
    <xdr:to>
      <xdr:col>5</xdr:col>
      <xdr:colOff>289560</xdr:colOff>
      <xdr:row>29</xdr:row>
      <xdr:rowOff>60961</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9F611751-D954-5F9B-E485-B393DB37ACC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048000" y="4427221"/>
              <a:ext cx="182880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373380</xdr:colOff>
      <xdr:row>30</xdr:row>
      <xdr:rowOff>167640</xdr:rowOff>
    </xdr:from>
    <xdr:to>
      <xdr:col>5</xdr:col>
      <xdr:colOff>144780</xdr:colOff>
      <xdr:row>36</xdr:row>
      <xdr:rowOff>45720</xdr:rowOff>
    </xdr:to>
    <mc:AlternateContent xmlns:mc="http://schemas.openxmlformats.org/markup-compatibility/2006" xmlns:a14="http://schemas.microsoft.com/office/drawing/2010/main">
      <mc:Choice Requires="a14">
        <xdr:graphicFrame macro="">
          <xdr:nvGraphicFramePr>
            <xdr:cNvPr id="10" name="Exited 1">
              <a:extLst>
                <a:ext uri="{FF2B5EF4-FFF2-40B4-BE49-F238E27FC236}">
                  <a16:creationId xmlns:a16="http://schemas.microsoft.com/office/drawing/2014/main" id="{A77025A9-6E98-7344-A6D1-521408D5CD7B}"/>
                </a:ext>
              </a:extLst>
            </xdr:cNvPr>
            <xdr:cNvGraphicFramePr/>
          </xdr:nvGraphicFramePr>
          <xdr:xfrm>
            <a:off x="0" y="0"/>
            <a:ext cx="0" cy="0"/>
          </xdr:xfrm>
          <a:graphic>
            <a:graphicData uri="http://schemas.microsoft.com/office/drawing/2010/slicer">
              <sle:slicer xmlns:sle="http://schemas.microsoft.com/office/drawing/2010/slicer" name="Exited 1"/>
            </a:graphicData>
          </a:graphic>
        </xdr:graphicFrame>
      </mc:Choice>
      <mc:Fallback xmlns="">
        <xdr:sp macro="" textlink="">
          <xdr:nvSpPr>
            <xdr:cNvPr id="0" name=""/>
            <xdr:cNvSpPr>
              <a:spLocks noTextEdit="1"/>
            </xdr:cNvSpPr>
          </xdr:nvSpPr>
          <xdr:spPr>
            <a:xfrm>
              <a:off x="2903220" y="5654040"/>
              <a:ext cx="1828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213360</xdr:colOff>
      <xdr:row>22</xdr:row>
      <xdr:rowOff>163830</xdr:rowOff>
    </xdr:from>
    <xdr:to>
      <xdr:col>12</xdr:col>
      <xdr:colOff>38100</xdr:colOff>
      <xdr:row>35</xdr:row>
      <xdr:rowOff>144780</xdr:rowOff>
    </xdr:to>
    <xdr:graphicFrame macro="">
      <xdr:nvGraphicFramePr>
        <xdr:cNvPr id="11" name="Chart 10">
          <a:extLst>
            <a:ext uri="{FF2B5EF4-FFF2-40B4-BE49-F238E27FC236}">
              <a16:creationId xmlns:a16="http://schemas.microsoft.com/office/drawing/2014/main" id="{8CBC44C2-11AF-F047-C9FE-236363F46E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121920</xdr:colOff>
      <xdr:row>23</xdr:row>
      <xdr:rowOff>19050</xdr:rowOff>
    </xdr:from>
    <xdr:to>
      <xdr:col>17</xdr:col>
      <xdr:colOff>335280</xdr:colOff>
      <xdr:row>37</xdr:row>
      <xdr:rowOff>114300</xdr:rowOff>
    </xdr:to>
    <xdr:graphicFrame macro="">
      <xdr:nvGraphicFramePr>
        <xdr:cNvPr id="12" name="Chart 11">
          <a:extLst>
            <a:ext uri="{FF2B5EF4-FFF2-40B4-BE49-F238E27FC236}">
              <a16:creationId xmlns:a16="http://schemas.microsoft.com/office/drawing/2014/main" id="{29C472E0-2641-5950-CF16-3E8EC03139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22860</xdr:colOff>
      <xdr:row>2</xdr:row>
      <xdr:rowOff>7621</xdr:rowOff>
    </xdr:from>
    <xdr:to>
      <xdr:col>7</xdr:col>
      <xdr:colOff>60960</xdr:colOff>
      <xdr:row>7</xdr:row>
      <xdr:rowOff>7621</xdr:rowOff>
    </xdr:to>
    <mc:AlternateContent xmlns:mc="http://schemas.openxmlformats.org/markup-compatibility/2006" xmlns:a14="http://schemas.microsoft.com/office/drawing/2010/main">
      <mc:Choice Requires="a14">
        <xdr:graphicFrame macro="">
          <xdr:nvGraphicFramePr>
            <xdr:cNvPr id="4" name="Exited">
              <a:extLst>
                <a:ext uri="{FF2B5EF4-FFF2-40B4-BE49-F238E27FC236}">
                  <a16:creationId xmlns:a16="http://schemas.microsoft.com/office/drawing/2014/main" id="{0A2ED375-43E0-7BD5-0D4D-8240C3BB8288}"/>
                </a:ext>
              </a:extLst>
            </xdr:cNvPr>
            <xdr:cNvGraphicFramePr/>
          </xdr:nvGraphicFramePr>
          <xdr:xfrm>
            <a:off x="0" y="0"/>
            <a:ext cx="0" cy="0"/>
          </xdr:xfrm>
          <a:graphic>
            <a:graphicData uri="http://schemas.microsoft.com/office/drawing/2010/slicer">
              <sle:slicer xmlns:sle="http://schemas.microsoft.com/office/drawing/2010/slicer" name="Exited"/>
            </a:graphicData>
          </a:graphic>
        </xdr:graphicFrame>
      </mc:Choice>
      <mc:Fallback xmlns="">
        <xdr:sp macro="" textlink="">
          <xdr:nvSpPr>
            <xdr:cNvPr id="0" name=""/>
            <xdr:cNvSpPr>
              <a:spLocks noTextEdit="1"/>
            </xdr:cNvSpPr>
          </xdr:nvSpPr>
          <xdr:spPr>
            <a:xfrm>
              <a:off x="4945380" y="373381"/>
              <a:ext cx="12573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xdr:colOff>
      <xdr:row>2</xdr:row>
      <xdr:rowOff>1</xdr:rowOff>
    </xdr:from>
    <xdr:to>
      <xdr:col>10</xdr:col>
      <xdr:colOff>327660</xdr:colOff>
      <xdr:row>6</xdr:row>
      <xdr:rowOff>167641</xdr:rowOff>
    </xdr:to>
    <mc:AlternateContent xmlns:mc="http://schemas.openxmlformats.org/markup-compatibility/2006" xmlns:a14="http://schemas.microsoft.com/office/drawing/2010/main">
      <mc:Choice Requires="a14">
        <xdr:graphicFrame macro="">
          <xdr:nvGraphicFramePr>
            <xdr:cNvPr id="5" name="HasCrCard">
              <a:extLst>
                <a:ext uri="{FF2B5EF4-FFF2-40B4-BE49-F238E27FC236}">
                  <a16:creationId xmlns:a16="http://schemas.microsoft.com/office/drawing/2014/main" id="{3550F0A9-C4E1-4212-07BA-170FCF435121}"/>
                </a:ext>
              </a:extLst>
            </xdr:cNvPr>
            <xdr:cNvGraphicFramePr/>
          </xdr:nvGraphicFramePr>
          <xdr:xfrm>
            <a:off x="0" y="0"/>
            <a:ext cx="0" cy="0"/>
          </xdr:xfrm>
          <a:graphic>
            <a:graphicData uri="http://schemas.microsoft.com/office/drawing/2010/slicer">
              <sle:slicer xmlns:sle="http://schemas.microsoft.com/office/drawing/2010/slicer" name="HasCrCard"/>
            </a:graphicData>
          </a:graphic>
        </xdr:graphicFrame>
      </mc:Choice>
      <mc:Fallback xmlns="">
        <xdr:sp macro="" textlink="">
          <xdr:nvSpPr>
            <xdr:cNvPr id="0" name=""/>
            <xdr:cNvSpPr>
              <a:spLocks noTextEdit="1"/>
            </xdr:cNvSpPr>
          </xdr:nvSpPr>
          <xdr:spPr>
            <a:xfrm>
              <a:off x="6789420" y="365761"/>
              <a:ext cx="150876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213360</xdr:colOff>
      <xdr:row>1</xdr:row>
      <xdr:rowOff>91440</xdr:rowOff>
    </xdr:from>
    <xdr:to>
      <xdr:col>19</xdr:col>
      <xdr:colOff>541020</xdr:colOff>
      <xdr:row>39</xdr:row>
      <xdr:rowOff>76200</xdr:rowOff>
    </xdr:to>
    <xdr:sp macro="" textlink="">
      <xdr:nvSpPr>
        <xdr:cNvPr id="3" name="Rectangle 2">
          <a:extLst>
            <a:ext uri="{FF2B5EF4-FFF2-40B4-BE49-F238E27FC236}">
              <a16:creationId xmlns:a16="http://schemas.microsoft.com/office/drawing/2014/main" id="{9ACDEE77-CA3E-DC68-A3B3-466768AB6CE1}"/>
            </a:ext>
          </a:extLst>
        </xdr:cNvPr>
        <xdr:cNvSpPr/>
      </xdr:nvSpPr>
      <xdr:spPr>
        <a:xfrm>
          <a:off x="822960" y="274320"/>
          <a:ext cx="11300460" cy="6934200"/>
        </a:xfrm>
        <a:prstGeom prst="rect">
          <a:avLst/>
        </a:prstGeom>
        <a:blipFill>
          <a:blip xmlns:r="http://schemas.openxmlformats.org/officeDocument/2006/relationships" r:embed="rId1"/>
          <a:tile tx="0" ty="0" sx="100000" sy="100000" flip="none" algn="tl"/>
        </a:blip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396240</xdr:colOff>
      <xdr:row>7</xdr:row>
      <xdr:rowOff>106680</xdr:rowOff>
    </xdr:from>
    <xdr:to>
      <xdr:col>11</xdr:col>
      <xdr:colOff>144780</xdr:colOff>
      <xdr:row>23</xdr:row>
      <xdr:rowOff>7620</xdr:rowOff>
    </xdr:to>
    <xdr:sp macro="" textlink="">
      <xdr:nvSpPr>
        <xdr:cNvPr id="4" name="Rectangle: Rounded Corners 3">
          <a:extLst>
            <a:ext uri="{FF2B5EF4-FFF2-40B4-BE49-F238E27FC236}">
              <a16:creationId xmlns:a16="http://schemas.microsoft.com/office/drawing/2014/main" id="{938E4CDF-4A87-5BAA-4B02-0EC181098974}"/>
            </a:ext>
          </a:extLst>
        </xdr:cNvPr>
        <xdr:cNvSpPr/>
      </xdr:nvSpPr>
      <xdr:spPr>
        <a:xfrm>
          <a:off x="2834640" y="1386840"/>
          <a:ext cx="4015740" cy="282702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12</xdr:col>
      <xdr:colOff>106680</xdr:colOff>
      <xdr:row>7</xdr:row>
      <xdr:rowOff>144780</xdr:rowOff>
    </xdr:from>
    <xdr:to>
      <xdr:col>18</xdr:col>
      <xdr:colOff>449580</xdr:colOff>
      <xdr:row>23</xdr:row>
      <xdr:rowOff>45720</xdr:rowOff>
    </xdr:to>
    <xdr:sp macro="" textlink="">
      <xdr:nvSpPr>
        <xdr:cNvPr id="5" name="Rectangle: Rounded Corners 4">
          <a:extLst>
            <a:ext uri="{FF2B5EF4-FFF2-40B4-BE49-F238E27FC236}">
              <a16:creationId xmlns:a16="http://schemas.microsoft.com/office/drawing/2014/main" id="{971A32BB-E163-4F33-AE69-9E1F7C68FF30}"/>
            </a:ext>
          </a:extLst>
        </xdr:cNvPr>
        <xdr:cNvSpPr/>
      </xdr:nvSpPr>
      <xdr:spPr>
        <a:xfrm>
          <a:off x="7421880" y="1424940"/>
          <a:ext cx="4000500" cy="2827020"/>
        </a:xfrm>
        <a:prstGeom prst="roundRect">
          <a:avLst/>
        </a:prstGeom>
        <a:solidFill>
          <a:schemeClr val="accent2">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495300</xdr:colOff>
      <xdr:row>24</xdr:row>
      <xdr:rowOff>114300</xdr:rowOff>
    </xdr:from>
    <xdr:to>
      <xdr:col>11</xdr:col>
      <xdr:colOff>190500</xdr:colOff>
      <xdr:row>38</xdr:row>
      <xdr:rowOff>7620</xdr:rowOff>
    </xdr:to>
    <xdr:sp macro="" textlink="">
      <xdr:nvSpPr>
        <xdr:cNvPr id="6" name="Rectangle: Rounded Corners 5">
          <a:extLst>
            <a:ext uri="{FF2B5EF4-FFF2-40B4-BE49-F238E27FC236}">
              <a16:creationId xmlns:a16="http://schemas.microsoft.com/office/drawing/2014/main" id="{B0F6D4E9-28C6-4153-8AD0-73EF5D1E6D3C}"/>
            </a:ext>
          </a:extLst>
        </xdr:cNvPr>
        <xdr:cNvSpPr/>
      </xdr:nvSpPr>
      <xdr:spPr>
        <a:xfrm>
          <a:off x="2933700" y="4503420"/>
          <a:ext cx="3962400" cy="245364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76200</xdr:colOff>
      <xdr:row>24</xdr:row>
      <xdr:rowOff>152400</xdr:rowOff>
    </xdr:from>
    <xdr:to>
      <xdr:col>18</xdr:col>
      <xdr:colOff>426720</xdr:colOff>
      <xdr:row>38</xdr:row>
      <xdr:rowOff>0</xdr:rowOff>
    </xdr:to>
    <xdr:sp macro="" textlink="">
      <xdr:nvSpPr>
        <xdr:cNvPr id="7" name="Rectangle: Rounded Corners 6">
          <a:extLst>
            <a:ext uri="{FF2B5EF4-FFF2-40B4-BE49-F238E27FC236}">
              <a16:creationId xmlns:a16="http://schemas.microsoft.com/office/drawing/2014/main" id="{6FD75A90-2C81-4923-9F3B-27642B7F4AD4}"/>
            </a:ext>
          </a:extLst>
        </xdr:cNvPr>
        <xdr:cNvSpPr/>
      </xdr:nvSpPr>
      <xdr:spPr>
        <a:xfrm>
          <a:off x="7391400" y="4541520"/>
          <a:ext cx="4008120" cy="240792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330855</xdr:colOff>
      <xdr:row>1</xdr:row>
      <xdr:rowOff>121735</xdr:rowOff>
    </xdr:from>
    <xdr:ext cx="6943055" cy="701667"/>
    <xdr:sp macro="" textlink="">
      <xdr:nvSpPr>
        <xdr:cNvPr id="10" name="Rectangle 9">
          <a:extLst>
            <a:ext uri="{FF2B5EF4-FFF2-40B4-BE49-F238E27FC236}">
              <a16:creationId xmlns:a16="http://schemas.microsoft.com/office/drawing/2014/main" id="{3CD0F746-AC5C-3F19-B545-780EEF5A27B5}"/>
            </a:ext>
          </a:extLst>
        </xdr:cNvPr>
        <xdr:cNvSpPr/>
      </xdr:nvSpPr>
      <xdr:spPr>
        <a:xfrm>
          <a:off x="3378855" y="304615"/>
          <a:ext cx="6943055" cy="701667"/>
        </a:xfrm>
        <a:prstGeom prst="rect">
          <a:avLst/>
        </a:prstGeom>
        <a:noFill/>
      </xdr:spPr>
      <xdr:txBody>
        <a:bodyPr wrap="none" lIns="91440" tIns="45720" rIns="91440" bIns="45720">
          <a:spAutoFit/>
        </a:bodyPr>
        <a:lstStyle/>
        <a:p>
          <a:pPr algn="ctr"/>
          <a:r>
            <a:rPr lang="en-US" sz="3600" b="1" cap="none" spc="0">
              <a:ln w="22225">
                <a:solidFill>
                  <a:schemeClr val="accent2"/>
                </a:solidFill>
                <a:prstDash val="solid"/>
              </a:ln>
              <a:solidFill>
                <a:srgbClr val="7030A0"/>
              </a:solidFill>
              <a:effectLst/>
              <a:latin typeface="Algerian" panose="04020705040A02060702" pitchFamily="82" charset="0"/>
            </a:rPr>
            <a:t>Churn</a:t>
          </a:r>
          <a:r>
            <a:rPr lang="en-US" sz="3600" b="1" cap="none" spc="0" baseline="0">
              <a:ln w="22225">
                <a:solidFill>
                  <a:schemeClr val="accent2"/>
                </a:solidFill>
                <a:prstDash val="solid"/>
              </a:ln>
              <a:solidFill>
                <a:srgbClr val="7030A0"/>
              </a:solidFill>
              <a:effectLst/>
              <a:latin typeface="Algerian" panose="04020705040A02060702" pitchFamily="82" charset="0"/>
            </a:rPr>
            <a:t> Modelling Dashboard</a:t>
          </a:r>
          <a:endParaRPr lang="en-US" sz="3600" b="1" cap="none" spc="0">
            <a:ln w="22225">
              <a:solidFill>
                <a:schemeClr val="accent2"/>
              </a:solidFill>
              <a:prstDash val="solid"/>
            </a:ln>
            <a:solidFill>
              <a:srgbClr val="7030A0"/>
            </a:solidFill>
            <a:effectLst/>
            <a:latin typeface="Algerian" panose="04020705040A02060702" pitchFamily="82" charset="0"/>
          </a:endParaRPr>
        </a:p>
      </xdr:txBody>
    </xdr:sp>
    <xdr:clientData/>
  </xdr:oneCellAnchor>
  <xdr:twoCellAnchor>
    <xdr:from>
      <xdr:col>12</xdr:col>
      <xdr:colOff>243840</xdr:colOff>
      <xdr:row>8</xdr:row>
      <xdr:rowOff>152400</xdr:rowOff>
    </xdr:from>
    <xdr:to>
      <xdr:col>18</xdr:col>
      <xdr:colOff>304800</xdr:colOff>
      <xdr:row>22</xdr:row>
      <xdr:rowOff>45720</xdr:rowOff>
    </xdr:to>
    <xdr:graphicFrame macro="">
      <xdr:nvGraphicFramePr>
        <xdr:cNvPr id="12" name="Chart 11">
          <a:extLst>
            <a:ext uri="{FF2B5EF4-FFF2-40B4-BE49-F238E27FC236}">
              <a16:creationId xmlns:a16="http://schemas.microsoft.com/office/drawing/2014/main" id="{C5798BED-4512-4D37-BCFD-CF9306920D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274320</xdr:colOff>
      <xdr:row>8</xdr:row>
      <xdr:rowOff>129540</xdr:rowOff>
    </xdr:from>
    <xdr:to>
      <xdr:col>4</xdr:col>
      <xdr:colOff>274320</xdr:colOff>
      <xdr:row>13</xdr:row>
      <xdr:rowOff>152400</xdr:rowOff>
    </xdr:to>
    <mc:AlternateContent xmlns:mc="http://schemas.openxmlformats.org/markup-compatibility/2006" xmlns:a14="http://schemas.microsoft.com/office/drawing/2010/main">
      <mc:Choice Requires="a14">
        <xdr:graphicFrame macro="">
          <xdr:nvGraphicFramePr>
            <xdr:cNvPr id="13" name="Gender 1">
              <a:extLst>
                <a:ext uri="{FF2B5EF4-FFF2-40B4-BE49-F238E27FC236}">
                  <a16:creationId xmlns:a16="http://schemas.microsoft.com/office/drawing/2014/main" id="{D88AD35C-C86C-49AC-89DC-55145850D7B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83920" y="1592580"/>
              <a:ext cx="182880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266700</xdr:colOff>
      <xdr:row>14</xdr:row>
      <xdr:rowOff>45720</xdr:rowOff>
    </xdr:from>
    <xdr:to>
      <xdr:col>4</xdr:col>
      <xdr:colOff>266700</xdr:colOff>
      <xdr:row>19</xdr:row>
      <xdr:rowOff>106680</xdr:rowOff>
    </xdr:to>
    <mc:AlternateContent xmlns:mc="http://schemas.openxmlformats.org/markup-compatibility/2006" xmlns:a14="http://schemas.microsoft.com/office/drawing/2010/main">
      <mc:Choice Requires="a14">
        <xdr:graphicFrame macro="">
          <xdr:nvGraphicFramePr>
            <xdr:cNvPr id="14" name="Exited 2">
              <a:extLst>
                <a:ext uri="{FF2B5EF4-FFF2-40B4-BE49-F238E27FC236}">
                  <a16:creationId xmlns:a16="http://schemas.microsoft.com/office/drawing/2014/main" id="{AB01E791-27E0-428A-B1F2-AE2F63513071}"/>
                </a:ext>
              </a:extLst>
            </xdr:cNvPr>
            <xdr:cNvGraphicFramePr/>
          </xdr:nvGraphicFramePr>
          <xdr:xfrm>
            <a:off x="0" y="0"/>
            <a:ext cx="0" cy="0"/>
          </xdr:xfrm>
          <a:graphic>
            <a:graphicData uri="http://schemas.microsoft.com/office/drawing/2010/slicer">
              <sle:slicer xmlns:sle="http://schemas.microsoft.com/office/drawing/2010/slicer" name="Exited 2"/>
            </a:graphicData>
          </a:graphic>
        </xdr:graphicFrame>
      </mc:Choice>
      <mc:Fallback xmlns="">
        <xdr:sp macro="" textlink="">
          <xdr:nvSpPr>
            <xdr:cNvPr id="0" name=""/>
            <xdr:cNvSpPr>
              <a:spLocks noTextEdit="1"/>
            </xdr:cNvSpPr>
          </xdr:nvSpPr>
          <xdr:spPr>
            <a:xfrm>
              <a:off x="876300" y="2606040"/>
              <a:ext cx="1828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518160</xdr:colOff>
      <xdr:row>8</xdr:row>
      <xdr:rowOff>129540</xdr:rowOff>
    </xdr:from>
    <xdr:to>
      <xdr:col>11</xdr:col>
      <xdr:colOff>0</xdr:colOff>
      <xdr:row>21</xdr:row>
      <xdr:rowOff>106680</xdr:rowOff>
    </xdr:to>
    <xdr:graphicFrame macro="">
      <xdr:nvGraphicFramePr>
        <xdr:cNvPr id="15" name="Chart 14">
          <a:extLst>
            <a:ext uri="{FF2B5EF4-FFF2-40B4-BE49-F238E27FC236}">
              <a16:creationId xmlns:a16="http://schemas.microsoft.com/office/drawing/2014/main" id="{028003F0-042A-4A92-98C4-24A9AC2831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767.505570949077" createdVersion="8" refreshedVersion="8" minRefreshableVersion="3" recordCount="20" xr:uid="{E19D2258-EEA5-4D88-8229-854121B10F32}">
  <cacheSource type="worksheet">
    <worksheetSource ref="A3:N23" sheet="Charts in Excel"/>
  </cacheSource>
  <cacheFields count="14">
    <cacheField name="RowNumber" numFmtId="0">
      <sharedItems containsSemiMixedTypes="0" containsString="0" containsNumber="1" containsInteger="1" minValue="1" maxValue="20"/>
    </cacheField>
    <cacheField name="CustomerId" numFmtId="0">
      <sharedItems containsSemiMixedTypes="0" containsString="0" containsNumber="1" containsInteger="1" minValue="15568982" maxValue="15792365"/>
    </cacheField>
    <cacheField name="Surname" numFmtId="0">
      <sharedItems/>
    </cacheField>
    <cacheField name="CreditScore" numFmtId="0">
      <sharedItems containsSemiMixedTypes="0" containsString="0" containsNumber="1" containsInteger="1" minValue="376" maxValue="850"/>
    </cacheField>
    <cacheField name="Geography" numFmtId="0">
      <sharedItems count="3">
        <s v="France"/>
        <s v="Spain"/>
        <s v="Germany"/>
      </sharedItems>
    </cacheField>
    <cacheField name="Gender" numFmtId="0">
      <sharedItems count="2">
        <s v="Female"/>
        <s v="Male"/>
      </sharedItems>
    </cacheField>
    <cacheField name="Age" numFmtId="0">
      <sharedItems containsSemiMixedTypes="0" containsString="0" containsNumber="1" containsInteger="1" minValue="24" maxValue="58"/>
    </cacheField>
    <cacheField name="Tenure" numFmtId="0">
      <sharedItems containsSemiMixedTypes="0" containsString="0" containsNumber="1" containsInteger="1" minValue="1" maxValue="10"/>
    </cacheField>
    <cacheField name="Balance" numFmtId="164">
      <sharedItems containsSemiMixedTypes="0" containsString="0" containsNumber="1" minValue="0" maxValue="159660.79999999999"/>
    </cacheField>
    <cacheField name="NumOfProducts" numFmtId="0">
      <sharedItems containsSemiMixedTypes="0" containsString="0" containsNumber="1" containsInteger="1" minValue="1" maxValue="4"/>
    </cacheField>
    <cacheField name="HasCrCard" numFmtId="0">
      <sharedItems containsSemiMixedTypes="0" containsString="0" containsNumber="1" containsInteger="1" minValue="0" maxValue="1"/>
    </cacheField>
    <cacheField name="IsActiveMember" numFmtId="0">
      <sharedItems containsSemiMixedTypes="0" containsString="0" containsNumber="1" containsInteger="1" minValue="0" maxValue="1"/>
    </cacheField>
    <cacheField name="EstimatedSalary" numFmtId="0">
      <sharedItems containsSemiMixedTypes="0" containsString="0" containsNumber="1" minValue="5097.67" maxValue="190857.79"/>
    </cacheField>
    <cacheField name="Exited"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768.468597800929" createdVersion="8" refreshedVersion="8" minRefreshableVersion="3" recordCount="20" xr:uid="{CA2C5E01-AC89-4E80-8243-5E2CA0CA8B55}">
  <cacheSource type="worksheet">
    <worksheetSource ref="A2:N22" sheet="Pivot Table"/>
  </cacheSource>
  <cacheFields count="14">
    <cacheField name="RowNumber" numFmtId="0">
      <sharedItems containsSemiMixedTypes="0" containsString="0" containsNumber="1" containsInteger="1" minValue="1" maxValue="20"/>
    </cacheField>
    <cacheField name="CustomerId" numFmtId="0">
      <sharedItems containsSemiMixedTypes="0" containsString="0" containsNumber="1" containsInteger="1" minValue="15568982" maxValue="15792365"/>
    </cacheField>
    <cacheField name="Surname" numFmtId="0">
      <sharedItems/>
    </cacheField>
    <cacheField name="CreditScore" numFmtId="0">
      <sharedItems containsSemiMixedTypes="0" containsString="0" containsNumber="1" containsInteger="1" minValue="376" maxValue="850"/>
    </cacheField>
    <cacheField name="Geography" numFmtId="0">
      <sharedItems count="3">
        <s v="France"/>
        <s v="Spain"/>
        <s v="Germany"/>
      </sharedItems>
    </cacheField>
    <cacheField name="Gender" numFmtId="0">
      <sharedItems count="2">
        <s v="Female"/>
        <s v="Male"/>
      </sharedItems>
    </cacheField>
    <cacheField name="Age" numFmtId="0">
      <sharedItems containsSemiMixedTypes="0" containsString="0" containsNumber="1" containsInteger="1" minValue="24" maxValue="58"/>
    </cacheField>
    <cacheField name="Tenure" numFmtId="0">
      <sharedItems containsSemiMixedTypes="0" containsString="0" containsNumber="1" containsInteger="1" minValue="1" maxValue="10"/>
    </cacheField>
    <cacheField name="Balance" numFmtId="0">
      <sharedItems containsSemiMixedTypes="0" containsString="0" containsNumber="1" minValue="0" maxValue="159660.79999999999"/>
    </cacheField>
    <cacheField name="NumOfProducts" numFmtId="0">
      <sharedItems containsSemiMixedTypes="0" containsString="0" containsNumber="1" containsInteger="1" minValue="1" maxValue="4"/>
    </cacheField>
    <cacheField name="HasCrCard" numFmtId="0">
      <sharedItems containsSemiMixedTypes="0" containsString="0" containsNumber="1" containsInteger="1" minValue="0" maxValue="1" count="2">
        <n v="1"/>
        <n v="0"/>
      </sharedItems>
    </cacheField>
    <cacheField name="IsActiveMember" numFmtId="0">
      <sharedItems containsSemiMixedTypes="0" containsString="0" containsNumber="1" containsInteger="1" minValue="0" maxValue="1"/>
    </cacheField>
    <cacheField name="EstimatedSalary" numFmtId="0">
      <sharedItems containsSemiMixedTypes="0" containsString="0" containsNumber="1" minValue="5097.67" maxValue="190857.79"/>
    </cacheField>
    <cacheField name="Exited"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pivotCacheId="10706748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
    <n v="15634602"/>
    <s v="Hargrave"/>
    <n v="619"/>
    <x v="0"/>
    <x v="0"/>
    <n v="42"/>
    <n v="2"/>
    <n v="0"/>
    <n v="1"/>
    <n v="1"/>
    <n v="1"/>
    <n v="101348.88"/>
    <n v="1"/>
  </r>
  <r>
    <n v="2"/>
    <n v="15647311"/>
    <s v="Hill"/>
    <n v="608"/>
    <x v="1"/>
    <x v="0"/>
    <n v="41"/>
    <n v="1"/>
    <n v="83807.86"/>
    <n v="1"/>
    <n v="0"/>
    <n v="1"/>
    <n v="112542.58"/>
    <n v="0"/>
  </r>
  <r>
    <n v="3"/>
    <n v="15619304"/>
    <s v="Onio"/>
    <n v="502"/>
    <x v="0"/>
    <x v="0"/>
    <n v="42"/>
    <n v="8"/>
    <n v="159660.79999999999"/>
    <n v="3"/>
    <n v="1"/>
    <n v="0"/>
    <n v="113931.57"/>
    <n v="1"/>
  </r>
  <r>
    <n v="4"/>
    <n v="15701354"/>
    <s v="Boni"/>
    <n v="699"/>
    <x v="0"/>
    <x v="0"/>
    <n v="39"/>
    <n v="1"/>
    <n v="0"/>
    <n v="2"/>
    <n v="0"/>
    <n v="0"/>
    <n v="93826.63"/>
    <n v="0"/>
  </r>
  <r>
    <n v="5"/>
    <n v="15737888"/>
    <s v="Mitchell"/>
    <n v="850"/>
    <x v="1"/>
    <x v="0"/>
    <n v="43"/>
    <n v="2"/>
    <n v="125510.82"/>
    <n v="1"/>
    <n v="1"/>
    <n v="1"/>
    <n v="79084.100000000006"/>
    <n v="0"/>
  </r>
  <r>
    <n v="6"/>
    <n v="15574012"/>
    <s v="Chu"/>
    <n v="645"/>
    <x v="1"/>
    <x v="1"/>
    <n v="44"/>
    <n v="8"/>
    <n v="113755.78"/>
    <n v="2"/>
    <n v="1"/>
    <n v="0"/>
    <n v="149756.71"/>
    <n v="1"/>
  </r>
  <r>
    <n v="7"/>
    <n v="15592531"/>
    <s v="Bartlett"/>
    <n v="822"/>
    <x v="0"/>
    <x v="1"/>
    <n v="50"/>
    <n v="7"/>
    <n v="0"/>
    <n v="2"/>
    <n v="1"/>
    <n v="1"/>
    <n v="10062.799999999999"/>
    <n v="0"/>
  </r>
  <r>
    <n v="8"/>
    <n v="15656148"/>
    <s v="Obinna"/>
    <n v="376"/>
    <x v="2"/>
    <x v="0"/>
    <n v="29"/>
    <n v="4"/>
    <n v="115046.74"/>
    <n v="4"/>
    <n v="1"/>
    <n v="0"/>
    <n v="119346.88"/>
    <n v="1"/>
  </r>
  <r>
    <n v="9"/>
    <n v="15792365"/>
    <s v="He"/>
    <n v="501"/>
    <x v="0"/>
    <x v="1"/>
    <n v="44"/>
    <n v="4"/>
    <n v="142051.07"/>
    <n v="2"/>
    <n v="0"/>
    <n v="1"/>
    <n v="74940.5"/>
    <n v="0"/>
  </r>
  <r>
    <n v="10"/>
    <n v="15592389"/>
    <s v="H?"/>
    <n v="684"/>
    <x v="0"/>
    <x v="1"/>
    <n v="27"/>
    <n v="2"/>
    <n v="134603.88"/>
    <n v="1"/>
    <n v="1"/>
    <n v="1"/>
    <n v="71725.73"/>
    <n v="0"/>
  </r>
  <r>
    <n v="11"/>
    <n v="15767821"/>
    <s v="Bearce"/>
    <n v="528"/>
    <x v="0"/>
    <x v="1"/>
    <n v="31"/>
    <n v="6"/>
    <n v="102016.72"/>
    <n v="2"/>
    <n v="0"/>
    <n v="0"/>
    <n v="80181.119999999995"/>
    <n v="0"/>
  </r>
  <r>
    <n v="12"/>
    <n v="15737173"/>
    <s v="Andrews"/>
    <n v="497"/>
    <x v="1"/>
    <x v="1"/>
    <n v="24"/>
    <n v="3"/>
    <n v="0"/>
    <n v="2"/>
    <n v="1"/>
    <n v="0"/>
    <n v="76390.009999999995"/>
    <n v="0"/>
  </r>
  <r>
    <n v="13"/>
    <n v="15632264"/>
    <s v="Kay"/>
    <n v="476"/>
    <x v="0"/>
    <x v="0"/>
    <n v="34"/>
    <n v="10"/>
    <n v="0"/>
    <n v="2"/>
    <n v="1"/>
    <n v="0"/>
    <n v="26260.98"/>
    <n v="0"/>
  </r>
  <r>
    <n v="14"/>
    <n v="15691483"/>
    <s v="Chin"/>
    <n v="549"/>
    <x v="0"/>
    <x v="0"/>
    <n v="25"/>
    <n v="5"/>
    <n v="0"/>
    <n v="2"/>
    <n v="0"/>
    <n v="0"/>
    <n v="190857.79"/>
    <n v="0"/>
  </r>
  <r>
    <n v="15"/>
    <n v="15600882"/>
    <s v="Scott"/>
    <n v="635"/>
    <x v="1"/>
    <x v="0"/>
    <n v="35"/>
    <n v="7"/>
    <n v="0"/>
    <n v="2"/>
    <n v="1"/>
    <n v="1"/>
    <n v="65951.649999999994"/>
    <n v="0"/>
  </r>
  <r>
    <n v="16"/>
    <n v="15643966"/>
    <s v="Goforth"/>
    <n v="616"/>
    <x v="2"/>
    <x v="1"/>
    <n v="45"/>
    <n v="3"/>
    <n v="143129.41"/>
    <n v="2"/>
    <n v="0"/>
    <n v="1"/>
    <n v="64327.26"/>
    <n v="0"/>
  </r>
  <r>
    <n v="17"/>
    <n v="15737452"/>
    <s v="Romeo"/>
    <n v="653"/>
    <x v="2"/>
    <x v="1"/>
    <n v="58"/>
    <n v="1"/>
    <n v="132602.88"/>
    <n v="1"/>
    <n v="1"/>
    <n v="0"/>
    <n v="5097.67"/>
    <n v="1"/>
  </r>
  <r>
    <n v="18"/>
    <n v="15788218"/>
    <s v="Henderson"/>
    <n v="549"/>
    <x v="1"/>
    <x v="0"/>
    <n v="24"/>
    <n v="9"/>
    <n v="0"/>
    <n v="2"/>
    <n v="1"/>
    <n v="1"/>
    <n v="14406.41"/>
    <n v="0"/>
  </r>
  <r>
    <n v="19"/>
    <n v="15661507"/>
    <s v="Muldrow"/>
    <n v="587"/>
    <x v="1"/>
    <x v="1"/>
    <n v="45"/>
    <n v="6"/>
    <n v="0"/>
    <n v="1"/>
    <n v="0"/>
    <n v="0"/>
    <n v="158684.81"/>
    <n v="0"/>
  </r>
  <r>
    <n v="20"/>
    <n v="15568982"/>
    <s v="Hao"/>
    <n v="726"/>
    <x v="0"/>
    <x v="0"/>
    <n v="24"/>
    <n v="6"/>
    <n v="0"/>
    <n v="2"/>
    <n v="1"/>
    <n v="1"/>
    <n v="54724.03"/>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
    <n v="15634602"/>
    <s v="Hargrave"/>
    <n v="619"/>
    <x v="0"/>
    <x v="0"/>
    <n v="42"/>
    <n v="2"/>
    <n v="0"/>
    <n v="1"/>
    <x v="0"/>
    <n v="1"/>
    <n v="101348.88"/>
    <x v="0"/>
  </r>
  <r>
    <n v="2"/>
    <n v="15647311"/>
    <s v="Hill"/>
    <n v="608"/>
    <x v="1"/>
    <x v="0"/>
    <n v="41"/>
    <n v="1"/>
    <n v="83807.86"/>
    <n v="1"/>
    <x v="1"/>
    <n v="1"/>
    <n v="112542.58"/>
    <x v="1"/>
  </r>
  <r>
    <n v="3"/>
    <n v="15619304"/>
    <s v="Onio"/>
    <n v="502"/>
    <x v="0"/>
    <x v="0"/>
    <n v="42"/>
    <n v="8"/>
    <n v="159660.79999999999"/>
    <n v="3"/>
    <x v="0"/>
    <n v="0"/>
    <n v="113931.57"/>
    <x v="0"/>
  </r>
  <r>
    <n v="4"/>
    <n v="15701354"/>
    <s v="Boni"/>
    <n v="699"/>
    <x v="0"/>
    <x v="0"/>
    <n v="39"/>
    <n v="1"/>
    <n v="0"/>
    <n v="2"/>
    <x v="1"/>
    <n v="0"/>
    <n v="93826.63"/>
    <x v="1"/>
  </r>
  <r>
    <n v="5"/>
    <n v="15737888"/>
    <s v="Mitchell"/>
    <n v="850"/>
    <x v="1"/>
    <x v="0"/>
    <n v="43"/>
    <n v="2"/>
    <n v="125510.82"/>
    <n v="1"/>
    <x v="0"/>
    <n v="1"/>
    <n v="79084.100000000006"/>
    <x v="1"/>
  </r>
  <r>
    <n v="6"/>
    <n v="15574012"/>
    <s v="Chu"/>
    <n v="645"/>
    <x v="1"/>
    <x v="1"/>
    <n v="44"/>
    <n v="8"/>
    <n v="113755.78"/>
    <n v="2"/>
    <x v="0"/>
    <n v="0"/>
    <n v="149756.71"/>
    <x v="0"/>
  </r>
  <r>
    <n v="7"/>
    <n v="15592531"/>
    <s v="Bartlett"/>
    <n v="822"/>
    <x v="0"/>
    <x v="1"/>
    <n v="50"/>
    <n v="7"/>
    <n v="0"/>
    <n v="2"/>
    <x v="0"/>
    <n v="1"/>
    <n v="10062.799999999999"/>
    <x v="1"/>
  </r>
  <r>
    <n v="8"/>
    <n v="15656148"/>
    <s v="Obinna"/>
    <n v="376"/>
    <x v="2"/>
    <x v="0"/>
    <n v="29"/>
    <n v="4"/>
    <n v="115046.74"/>
    <n v="4"/>
    <x v="0"/>
    <n v="0"/>
    <n v="119346.88"/>
    <x v="0"/>
  </r>
  <r>
    <n v="9"/>
    <n v="15792365"/>
    <s v="He"/>
    <n v="501"/>
    <x v="0"/>
    <x v="1"/>
    <n v="44"/>
    <n v="4"/>
    <n v="142051.07"/>
    <n v="2"/>
    <x v="1"/>
    <n v="1"/>
    <n v="74940.5"/>
    <x v="1"/>
  </r>
  <r>
    <n v="10"/>
    <n v="15592389"/>
    <s v="H?"/>
    <n v="684"/>
    <x v="0"/>
    <x v="1"/>
    <n v="27"/>
    <n v="2"/>
    <n v="134603.88"/>
    <n v="1"/>
    <x v="0"/>
    <n v="1"/>
    <n v="71725.73"/>
    <x v="1"/>
  </r>
  <r>
    <n v="11"/>
    <n v="15767821"/>
    <s v="Bearce"/>
    <n v="528"/>
    <x v="0"/>
    <x v="1"/>
    <n v="31"/>
    <n v="6"/>
    <n v="102016.72"/>
    <n v="2"/>
    <x v="1"/>
    <n v="0"/>
    <n v="80181.119999999995"/>
    <x v="1"/>
  </r>
  <r>
    <n v="12"/>
    <n v="15737173"/>
    <s v="Andrews"/>
    <n v="497"/>
    <x v="1"/>
    <x v="1"/>
    <n v="24"/>
    <n v="3"/>
    <n v="0"/>
    <n v="2"/>
    <x v="0"/>
    <n v="0"/>
    <n v="76390.009999999995"/>
    <x v="1"/>
  </r>
  <r>
    <n v="13"/>
    <n v="15632264"/>
    <s v="Kay"/>
    <n v="476"/>
    <x v="0"/>
    <x v="0"/>
    <n v="34"/>
    <n v="10"/>
    <n v="0"/>
    <n v="2"/>
    <x v="0"/>
    <n v="0"/>
    <n v="26260.98"/>
    <x v="1"/>
  </r>
  <r>
    <n v="14"/>
    <n v="15691483"/>
    <s v="Chin"/>
    <n v="549"/>
    <x v="0"/>
    <x v="0"/>
    <n v="25"/>
    <n v="5"/>
    <n v="0"/>
    <n v="2"/>
    <x v="1"/>
    <n v="0"/>
    <n v="190857.79"/>
    <x v="1"/>
  </r>
  <r>
    <n v="15"/>
    <n v="15600882"/>
    <s v="Scott"/>
    <n v="635"/>
    <x v="1"/>
    <x v="0"/>
    <n v="35"/>
    <n v="7"/>
    <n v="0"/>
    <n v="2"/>
    <x v="0"/>
    <n v="1"/>
    <n v="65951.649999999994"/>
    <x v="1"/>
  </r>
  <r>
    <n v="16"/>
    <n v="15643966"/>
    <s v="Goforth"/>
    <n v="616"/>
    <x v="2"/>
    <x v="1"/>
    <n v="45"/>
    <n v="3"/>
    <n v="143129.41"/>
    <n v="2"/>
    <x v="1"/>
    <n v="1"/>
    <n v="64327.26"/>
    <x v="1"/>
  </r>
  <r>
    <n v="17"/>
    <n v="15737452"/>
    <s v="Romeo"/>
    <n v="653"/>
    <x v="2"/>
    <x v="1"/>
    <n v="58"/>
    <n v="1"/>
    <n v="132602.88"/>
    <n v="1"/>
    <x v="0"/>
    <n v="0"/>
    <n v="5097.67"/>
    <x v="0"/>
  </r>
  <r>
    <n v="18"/>
    <n v="15788218"/>
    <s v="Henderson"/>
    <n v="549"/>
    <x v="1"/>
    <x v="0"/>
    <n v="24"/>
    <n v="9"/>
    <n v="0"/>
    <n v="2"/>
    <x v="0"/>
    <n v="1"/>
    <n v="14406.41"/>
    <x v="1"/>
  </r>
  <r>
    <n v="19"/>
    <n v="15661507"/>
    <s v="Muldrow"/>
    <n v="587"/>
    <x v="1"/>
    <x v="1"/>
    <n v="45"/>
    <n v="6"/>
    <n v="0"/>
    <n v="1"/>
    <x v="1"/>
    <n v="0"/>
    <n v="158684.81"/>
    <x v="1"/>
  </r>
  <r>
    <n v="20"/>
    <n v="15568982"/>
    <s v="Hao"/>
    <n v="726"/>
    <x v="0"/>
    <x v="0"/>
    <n v="24"/>
    <n v="6"/>
    <n v="0"/>
    <n v="2"/>
    <x v="0"/>
    <n v="1"/>
    <n v="54724.0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39C585-6908-4FB4-935A-5E3B8867021B}" name="PivotTable1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D6" firstHeaderRow="1" firstDataRow="2" firstDataCol="1"/>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3">
        <item x="0"/>
        <item x="2"/>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2">
    <i>
      <x/>
    </i>
    <i>
      <x v="1"/>
    </i>
  </rowItems>
  <colFields count="1">
    <field x="4"/>
  </colFields>
  <colItems count="3">
    <i>
      <x/>
    </i>
    <i>
      <x v="1"/>
    </i>
    <i>
      <x v="2"/>
    </i>
  </colItems>
  <dataFields count="1">
    <dataField name="Count of Geography" fld="4" subtotal="count" baseField="0" baseItem="0"/>
  </dataFields>
  <chartFormats count="9">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5" count="1" selected="0">
            <x v="1"/>
          </reference>
        </references>
      </pivotArea>
    </chartFormat>
    <chartFormat chart="0" format="3" series="1">
      <pivotArea type="data" outline="0" fieldPosition="0">
        <references count="3">
          <reference field="4294967294" count="1" selected="0">
            <x v="0"/>
          </reference>
          <reference field="4" count="1" selected="0">
            <x v="2"/>
          </reference>
          <reference field="5" count="1" selected="0">
            <x v="0"/>
          </reference>
        </references>
      </pivotArea>
    </chartFormat>
    <chartFormat chart="0" format="4" series="1">
      <pivotArea type="data" outline="0" fieldPosition="0">
        <references count="3">
          <reference field="4294967294" count="1" selected="0">
            <x v="0"/>
          </reference>
          <reference field="4" count="1" selected="0">
            <x v="0"/>
          </reference>
          <reference field="5" count="1" selected="0">
            <x v="1"/>
          </reference>
        </references>
      </pivotArea>
    </chartFormat>
    <chartFormat chart="0" format="5" series="1">
      <pivotArea type="data" outline="0" fieldPosition="0">
        <references count="3">
          <reference field="4294967294" count="1" selected="0">
            <x v="0"/>
          </reference>
          <reference field="4" count="1" selected="0">
            <x v="1"/>
          </reference>
          <reference field="5" count="1" selected="0">
            <x v="1"/>
          </reference>
        </references>
      </pivotArea>
    </chartFormat>
    <chartFormat chart="0" format="6" series="1">
      <pivotArea type="data" outline="0" fieldPosition="0">
        <references count="3">
          <reference field="4294967294" count="1" selected="0">
            <x v="0"/>
          </reference>
          <reference field="4" count="1" selected="0">
            <x v="2"/>
          </reference>
          <reference field="5" count="1" selected="0">
            <x v="1"/>
          </reference>
        </references>
      </pivotArea>
    </chartFormat>
    <chartFormat chart="0" format="7" series="1">
      <pivotArea type="data" outline="0" fieldPosition="0">
        <references count="2">
          <reference field="4294967294" count="1" selected="0">
            <x v="0"/>
          </reference>
          <reference field="4" count="1" selected="0">
            <x v="0"/>
          </reference>
        </references>
      </pivotArea>
    </chartFormat>
    <chartFormat chart="0" format="8" series="1">
      <pivotArea type="data" outline="0" fieldPosition="0">
        <references count="2">
          <reference field="4294967294" count="1" selected="0">
            <x v="0"/>
          </reference>
          <reference field="4" count="1" selected="0">
            <x v="1"/>
          </reference>
        </references>
      </pivotArea>
    </chartFormat>
    <chartFormat chart="0" format="9"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E0CA7C-CF00-4BF4-A71F-48884D349A2F}" name="PivotTable6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2:B36" firstHeaderRow="1" firstDataRow="1" firstDataCol="1"/>
  <pivotFields count="14">
    <pivotField showAll="0"/>
    <pivotField showAll="0"/>
    <pivotField showAll="0"/>
    <pivotField showAll="0"/>
    <pivotField axis="axisRow" showAll="0">
      <items count="4">
        <item x="0"/>
        <item x="2"/>
        <item x="1"/>
        <item t="default"/>
      </items>
    </pivotField>
    <pivotField showAll="0">
      <items count="3">
        <item x="0"/>
        <item x="1"/>
        <item t="default"/>
      </items>
    </pivotField>
    <pivotField showAll="0"/>
    <pivotField showAll="0"/>
    <pivotField showAll="0"/>
    <pivotField showAll="0"/>
    <pivotField showAll="0"/>
    <pivotField showAll="0"/>
    <pivotField dataField="1" showAll="0"/>
    <pivotField showAll="0">
      <items count="3">
        <item x="1"/>
        <item x="0"/>
        <item t="default"/>
      </items>
    </pivotField>
  </pivotFields>
  <rowFields count="1">
    <field x="4"/>
  </rowFields>
  <rowItems count="4">
    <i>
      <x/>
    </i>
    <i>
      <x v="1"/>
    </i>
    <i>
      <x v="2"/>
    </i>
    <i t="grand">
      <x/>
    </i>
  </rowItems>
  <colItems count="1">
    <i/>
  </colItems>
  <dataFields count="1">
    <dataField name="Average of EstimatedSalary" fld="12" subtotal="average" baseField="4"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0D8609-9967-4632-B4B9-5CEE2A25C188}" name="PivotTable6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5:B29" firstHeaderRow="1" firstDataRow="1" firstDataCol="1"/>
  <pivotFields count="14">
    <pivotField showAll="0"/>
    <pivotField showAll="0"/>
    <pivotField showAll="0"/>
    <pivotField showAll="0"/>
    <pivotField axis="axisRow" showAll="0">
      <items count="4">
        <item x="0"/>
        <item x="2"/>
        <item x="1"/>
        <item t="default"/>
      </items>
    </pivotField>
    <pivotField dataField="1" showAll="0">
      <items count="3">
        <item x="0"/>
        <item x="1"/>
        <item t="default"/>
      </items>
    </pivotField>
    <pivotField showAll="0"/>
    <pivotField showAll="0"/>
    <pivotField showAll="0"/>
    <pivotField showAll="0"/>
    <pivotField showAll="0"/>
    <pivotField showAll="0"/>
    <pivotField showAll="0"/>
    <pivotField showAll="0">
      <items count="3">
        <item x="1"/>
        <item x="0"/>
        <item t="default"/>
      </items>
    </pivotField>
  </pivotFields>
  <rowFields count="1">
    <field x="4"/>
  </rowFields>
  <rowItems count="4">
    <i>
      <x/>
    </i>
    <i>
      <x v="1"/>
    </i>
    <i>
      <x v="2"/>
    </i>
    <i t="grand">
      <x/>
    </i>
  </rowItems>
  <colItems count="1">
    <i/>
  </colItems>
  <dataFields count="1">
    <dataField name="Count of Gender" fld="5"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E390F7-A67B-4238-9A0D-C4613ADE00A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14">
    <pivotField showAll="0"/>
    <pivotField showAll="0"/>
    <pivotField showAll="0"/>
    <pivotField showAll="0"/>
    <pivotField axis="axisRow" showAll="0">
      <items count="4">
        <item x="0"/>
        <item x="2"/>
        <item x="1"/>
        <item t="default"/>
      </items>
    </pivotField>
    <pivotField axis="axisCol" multipleItemSelectionAllowed="1" showAll="0">
      <items count="3">
        <item x="0"/>
        <item x="1"/>
        <item t="default"/>
      </items>
    </pivotField>
    <pivotField showAll="0"/>
    <pivotField showAll="0"/>
    <pivotField showAll="0"/>
    <pivotField showAll="0"/>
    <pivotField showAll="0">
      <items count="3">
        <item x="1"/>
        <item h="1" x="0"/>
        <item t="default"/>
      </items>
    </pivotField>
    <pivotField showAll="0"/>
    <pivotField dataField="1" showAll="0"/>
    <pivotField showAll="0">
      <items count="3">
        <item x="1"/>
        <item x="0"/>
        <item t="default"/>
      </items>
    </pivotField>
  </pivotFields>
  <rowFields count="1">
    <field x="4"/>
  </rowFields>
  <rowItems count="4">
    <i>
      <x/>
    </i>
    <i>
      <x v="1"/>
    </i>
    <i>
      <x v="2"/>
    </i>
    <i t="grand">
      <x/>
    </i>
  </rowItems>
  <colFields count="1">
    <field x="5"/>
  </colFields>
  <colItems count="3">
    <i>
      <x/>
    </i>
    <i>
      <x v="1"/>
    </i>
    <i t="grand">
      <x/>
    </i>
  </colItems>
  <dataFields count="1">
    <dataField name="Average of EstimatedSalary" fld="12" subtotal="average" baseField="4" baseItem="0"/>
  </dataFields>
  <formats count="1">
    <format dxfId="3">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CrCard" xr10:uid="{F34D6380-20D0-49AB-8C6E-180E9B7B2975}" sourceName="HasCrCard">
  <pivotTables>
    <pivotTable tabId="19" name="PivotTable2"/>
  </pivotTables>
  <data>
    <tabular pivotCacheId="1070674873">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F811245-4954-49BA-85C6-6E148E2DFD41}" sourceName="Gender">
  <pivotTables>
    <pivotTable tabId="18" name="PivotTable63"/>
    <pivotTable tabId="18" name="PivotTable64"/>
    <pivotTable tabId="19" name="PivotTable2"/>
  </pivotTables>
  <data>
    <tabular pivotCacheId="107067487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ited1" xr10:uid="{AD0F2500-44A3-4896-9249-871389EB6906}" sourceName="Exited">
  <pivotTables>
    <pivotTable tabId="18" name="PivotTable64"/>
    <pivotTable tabId="18" name="PivotTable63"/>
    <pivotTable tabId="19" name="PivotTable2"/>
  </pivotTables>
  <data>
    <tabular pivotCacheId="107067487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81C4B00-8A99-4BEB-8C2C-8847A86AFD24}" cache="Slicer_Gender" caption="Gender" rowHeight="234950"/>
  <slicer name="Exited 1" xr10:uid="{4CD77199-A99C-445C-BEB6-1FCA1D580D13}" cache="Slicer_Exited1" caption="Exite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asCrCard" xr10:uid="{C6B2AF2C-4541-4653-8C53-92514B8EB01B}" cache="Slicer_HasCrCard" caption="HasCrCard" style="SlicerStyleOther1" rowHeight="234950"/>
  <slicer name="Exited" xr10:uid="{3C202535-44D9-43CB-BAA7-72CFCDBFFB8B}" cache="Slicer_Exited1" caption="Exited" style="SlicerStyleDark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1258F1D-161F-46D6-ACBF-AEFB9A90686D}" cache="Slicer_Gender" caption="Gender" rowHeight="234950"/>
  <slicer name="Exited 2" xr10:uid="{A02B6ABA-5EEA-4DDB-A5B8-A4E1BBF7D2A9}" cache="Slicer_Exited1" caption="Exite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49E242-5F96-4185-8D46-7D89BDD45672}" name="Table1" displayName="Table1" ref="A3:D13" totalsRowShown="0" headerRowDxfId="63" dataDxfId="61" headerRowBorderDxfId="62" tableBorderDxfId="60" totalsRowBorderDxfId="59">
  <autoFilter ref="A3:D13" xr:uid="{BC49E242-5F96-4185-8D46-7D89BDD45672}"/>
  <tableColumns count="4">
    <tableColumn id="1" xr3:uid="{B3FE7076-2E71-4E75-B331-598CCE2C54D4}" name="Number" dataDxfId="58"/>
    <tableColumn id="2" xr3:uid="{C7BB90BD-3B3F-43B0-86C8-FFE2408B9B63}" name="Description" dataDxfId="57"/>
    <tableColumn id="3" xr3:uid="{D3555EE1-84BD-4CC1-9D69-76BA63E1BACB}" name="Type" dataDxfId="56"/>
    <tableColumn id="4" xr3:uid="{7A316905-3D1A-4E77-A3E5-AA6927297B1C}" name="Price in INR" dataDxfId="5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30718E-005F-4153-B4CA-693FFD64B060}" name="Table3" displayName="Table3" ref="A3:C20" totalsRowShown="0" headerRowDxfId="54" headerRowBorderDxfId="53" tableBorderDxfId="52" totalsRowBorderDxfId="51">
  <tableColumns count="3">
    <tableColumn id="1" xr3:uid="{B5B838D5-73AA-48A9-ACBF-B2967BE83E35}" name="Age" dataDxfId="50"/>
    <tableColumn id="2" xr3:uid="{422A87DD-8928-4F90-AB23-2599E194CE2A}" name="Age Group" dataDxfId="49">
      <calculatedColumnFormula>IF(A4&gt;=80,"Above 80","Below 80")</calculatedColumnFormula>
    </tableColumn>
    <tableColumn id="3" xr3:uid="{1C243D67-A71B-4664-B738-082B3CE952FD}" name="Age Group2" dataDxfId="48">
      <calculatedColumnFormula>IF(A4&gt;=80,"Above 80",IF(A4&gt;=70,"Between 70 to 79",IF(A4&gt;=60,"Between 60 to 69",IF(A4&gt;=50,"Between 50 to 59",IF(A4&gt;=40,"Between 40 to 49",IF(A4&gt;=30,"Between 30 to 39",IF(A4&gt;=20,"Between 20 to 29","Below 20")))))))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AC3472C-A3D7-4C3F-BA9E-E1763A5B7413}" name="Table4" displayName="Table4" ref="F3:N11" totalsRowShown="0" headerRowDxfId="47" dataDxfId="45" headerRowBorderDxfId="46" tableBorderDxfId="44" totalsRowBorderDxfId="43">
  <tableColumns count="9">
    <tableColumn id="1" xr3:uid="{1BE1E9D0-EFC6-4599-8896-D435255BF117}" name="Name" dataDxfId="42"/>
    <tableColumn id="2" xr3:uid="{7DA5127F-2F50-448C-8D44-0BD5E27BF865}" name="Gender" dataDxfId="41"/>
    <tableColumn id="3" xr3:uid="{6BBF59BC-0256-4E15-8B35-5F3EB31850ED}" name="Physics" dataDxfId="40"/>
    <tableColumn id="4" xr3:uid="{3D2F7E1D-BCD2-40DC-8D6A-709F4BAFC494}" name="Chemistry" dataDxfId="39"/>
    <tableColumn id="5" xr3:uid="{4DE33634-4837-4F9D-A60D-9564A1624A5C}" name="Mathematics" dataDxfId="38"/>
    <tableColumn id="6" xr3:uid="{A3D0ED94-A5B5-4FC9-9D22-7FCDCEF9A8B5}" name="Analysis (OR)" dataDxfId="37">
      <calculatedColumnFormula>OR(H4&lt;35, I4&lt;35, J4&lt;35)</calculatedColumnFormula>
    </tableColumn>
    <tableColumn id="7" xr3:uid="{929D026F-DAF9-43E0-8F5D-D8AC4D1C5A79}" name="Analysis (AND)" dataDxfId="36">
      <calculatedColumnFormula>AND(H4&lt;35, I4&lt;35, J4&lt;35)</calculatedColumnFormula>
    </tableColumn>
    <tableColumn id="8" xr3:uid="{A3E79BE6-5EA3-440D-AC05-DCCAC61CF15D}" name="Result (OR)" dataDxfId="35">
      <calculatedColumnFormula>IF(K4,"Partial or Complete Fail", "Pass")</calculatedColumnFormula>
    </tableColumn>
    <tableColumn id="9" xr3:uid="{E4DF92C0-BC37-43A5-8E75-B94A20F10AC9}" name=" Result (AND)" dataDxfId="34">
      <calculatedColumnFormula>IF(L4,"Complete Fail", "Pass")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1C7E62-A71C-48F0-A8B9-6173BDE7798A}" name="Table2" displayName="Table2" ref="A4:N34" totalsRowShown="0" headerRowDxfId="33" headerRowBorderDxfId="32" tableBorderDxfId="31" totalsRowBorderDxfId="30">
  <tableColumns count="14">
    <tableColumn id="1" xr3:uid="{A48B2342-FDFD-4B13-89B9-05CE10832A7E}" name="RowNumber" dataDxfId="29"/>
    <tableColumn id="2" xr3:uid="{7580BE22-D873-46C9-805B-5F4895BAFBAF}" name="CustomerId" dataDxfId="28"/>
    <tableColumn id="3" xr3:uid="{3540CB3B-D753-4B41-8FDB-82ED6C35A2D2}" name="Surname" dataDxfId="27"/>
    <tableColumn id="4" xr3:uid="{49C93E82-9761-4C0C-9393-0549CDA7D94B}" name="CreditScore" dataDxfId="26"/>
    <tableColumn id="5" xr3:uid="{61850395-918A-4951-B093-34BC6A6619D6}" name="Geography" dataDxfId="25"/>
    <tableColumn id="6" xr3:uid="{6E844083-E18F-4A1F-934F-5A92E12D5A88}" name="Gender" dataDxfId="24"/>
    <tableColumn id="7" xr3:uid="{47318754-9111-46FF-9A3C-668E24743D5E}" name="Age" dataDxfId="23"/>
    <tableColumn id="8" xr3:uid="{872B40A8-CE39-4215-939B-824BDB68EF2E}" name="Tenure" dataDxfId="22"/>
    <tableColumn id="9" xr3:uid="{FE00E974-F245-40D5-97E9-CD306F4389FC}" name="Balance" dataDxfId="21"/>
    <tableColumn id="10" xr3:uid="{ABEEB1A6-963E-40FA-9C6D-F7A61CEE48FE}" name="NumOfProducts" dataDxfId="20"/>
    <tableColumn id="11" xr3:uid="{5402D949-8CBE-49A3-87C8-49E65B786CEF}" name="HasCrCard" dataDxfId="19"/>
    <tableColumn id="12" xr3:uid="{3801D250-9EAF-40EF-8330-AF52F717CD6C}" name="IsActiveMember" dataDxfId="18"/>
    <tableColumn id="13" xr3:uid="{7CC0BCCE-0361-4DE0-A670-9E7578A0B092}" name="EstimatedSalary" dataDxfId="17"/>
    <tableColumn id="14" xr3:uid="{49236A42-692F-469E-94C3-D1EFFCAB2F03}" name="Exited"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A2" sqref="A2:A11"/>
    </sheetView>
  </sheetViews>
  <sheetFormatPr defaultRowHeight="14.4" x14ac:dyDescent="0.3"/>
  <sheetData>
    <row r="1" spans="1:7" x14ac:dyDescent="0.3">
      <c r="A1" s="4" t="s">
        <v>0</v>
      </c>
      <c r="B1" s="4"/>
      <c r="F1">
        <v>5</v>
      </c>
      <c r="G1">
        <f>RANK(F1,$F$1:$F$7)</f>
        <v>7</v>
      </c>
    </row>
    <row r="2" spans="1:7" x14ac:dyDescent="0.3">
      <c r="A2" s="5">
        <v>1</v>
      </c>
      <c r="B2" s="4" t="s">
        <v>1</v>
      </c>
      <c r="C2">
        <f>ROUND(999.3696,2)</f>
        <v>999.37</v>
      </c>
      <c r="F2">
        <v>15</v>
      </c>
      <c r="G2">
        <f t="shared" ref="G2:G7" si="0">RANK(F2,$F$1:$F$7)</f>
        <v>6</v>
      </c>
    </row>
    <row r="3" spans="1:7" x14ac:dyDescent="0.3">
      <c r="A3" s="5">
        <v>2</v>
      </c>
      <c r="B3" s="4" t="s">
        <v>2</v>
      </c>
      <c r="C3">
        <f>SQRT(81)</f>
        <v>9</v>
      </c>
      <c r="F3">
        <v>89</v>
      </c>
      <c r="G3">
        <f t="shared" si="0"/>
        <v>2</v>
      </c>
    </row>
    <row r="4" spans="1:7" x14ac:dyDescent="0.3">
      <c r="A4" s="5">
        <v>3</v>
      </c>
      <c r="B4" s="4" t="s">
        <v>3</v>
      </c>
      <c r="C4">
        <f>MAX(F1:F7)</f>
        <v>98</v>
      </c>
      <c r="F4">
        <v>23</v>
      </c>
      <c r="G4">
        <f t="shared" si="0"/>
        <v>4</v>
      </c>
    </row>
    <row r="5" spans="1:7" x14ac:dyDescent="0.3">
      <c r="A5" s="5">
        <v>4</v>
      </c>
      <c r="B5" s="4" t="s">
        <v>4</v>
      </c>
      <c r="C5">
        <f>MIN(F1:F7)</f>
        <v>5</v>
      </c>
      <c r="F5">
        <v>98</v>
      </c>
      <c r="G5">
        <f t="shared" si="0"/>
        <v>1</v>
      </c>
    </row>
    <row r="6" spans="1:7" x14ac:dyDescent="0.3">
      <c r="A6" s="5">
        <v>5</v>
      </c>
      <c r="B6" s="4" t="s">
        <v>5</v>
      </c>
      <c r="C6">
        <f>AVERAGE(F1:F7)</f>
        <v>44</v>
      </c>
      <c r="F6">
        <v>56</v>
      </c>
      <c r="G6">
        <f t="shared" si="0"/>
        <v>3</v>
      </c>
    </row>
    <row r="7" spans="1:7" x14ac:dyDescent="0.3">
      <c r="A7" s="5">
        <v>6</v>
      </c>
      <c r="B7" s="4" t="s">
        <v>6</v>
      </c>
      <c r="C7">
        <f>SUM(F1:F7)</f>
        <v>308</v>
      </c>
      <c r="F7">
        <v>22</v>
      </c>
      <c r="G7">
        <f t="shared" si="0"/>
        <v>5</v>
      </c>
    </row>
    <row r="8" spans="1:7" x14ac:dyDescent="0.3">
      <c r="A8" s="5">
        <v>7</v>
      </c>
      <c r="B8" s="4" t="s">
        <v>7</v>
      </c>
    </row>
    <row r="9" spans="1:7" x14ac:dyDescent="0.3">
      <c r="A9" s="5">
        <v>8</v>
      </c>
      <c r="B9" s="4" t="s">
        <v>8</v>
      </c>
      <c r="C9" t="str">
        <f>LEFT("AKSHAY",2)</f>
        <v>AK</v>
      </c>
    </row>
    <row r="10" spans="1:7" x14ac:dyDescent="0.3">
      <c r="A10" s="5">
        <v>9</v>
      </c>
      <c r="B10" s="4" t="s">
        <v>9</v>
      </c>
      <c r="C10" t="str">
        <f>RIGHT("AKSHAY",3)</f>
        <v>HAY</v>
      </c>
    </row>
    <row r="11" spans="1:7" x14ac:dyDescent="0.3">
      <c r="A11" s="5">
        <v>10</v>
      </c>
      <c r="B11" s="4" t="s">
        <v>10</v>
      </c>
      <c r="C11">
        <f>LEN("AKSHAY PAUNIKAR")</f>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E1B76-374A-4ACD-9BEE-A528D7835111}">
  <dimension ref="A1:E7"/>
  <sheetViews>
    <sheetView workbookViewId="0">
      <selection activeCell="F26" sqref="F26"/>
    </sheetView>
  </sheetViews>
  <sheetFormatPr defaultRowHeight="14.4" x14ac:dyDescent="0.3"/>
  <cols>
    <col min="1" max="1" width="9.5546875" bestFit="1" customWidth="1"/>
    <col min="2" max="2" width="13.88671875" bestFit="1" customWidth="1"/>
    <col min="3" max="3" width="10.5546875" bestFit="1" customWidth="1"/>
  </cols>
  <sheetData>
    <row r="1" spans="1:5" x14ac:dyDescent="0.3">
      <c r="B1" s="2" t="s">
        <v>11</v>
      </c>
      <c r="E1" s="4" t="s">
        <v>17</v>
      </c>
    </row>
    <row r="2" spans="1:5" x14ac:dyDescent="0.3">
      <c r="A2" s="5">
        <v>1</v>
      </c>
      <c r="B2" s="4" t="s">
        <v>12</v>
      </c>
      <c r="C2" s="1">
        <f ca="1">TODAY()</f>
        <v>44818</v>
      </c>
      <c r="E2">
        <f>NETWORKDAYS.INTL(DATE(2022,1,1), DATE(2022,12,31), 1, {"2022/01/26","2022/03/01","2022/03/18","2022/04/14","2022/04/15","2022/05/03","2022/05/16","2022/08/09","2022/08/15","2022/08/16","2022/08/31","2022/10/24","2022/10/26","2022/11/08"})</f>
        <v>246</v>
      </c>
    </row>
    <row r="3" spans="1:5" x14ac:dyDescent="0.3">
      <c r="A3" s="5">
        <v>2</v>
      </c>
      <c r="B3" s="4" t="s">
        <v>13</v>
      </c>
      <c r="C3" s="1">
        <f ca="1">EOMONTH(C2,4)</f>
        <v>44957</v>
      </c>
    </row>
    <row r="4" spans="1:5" x14ac:dyDescent="0.3">
      <c r="A4" s="5">
        <v>3</v>
      </c>
      <c r="B4" s="4" t="s">
        <v>14</v>
      </c>
      <c r="C4" s="3">
        <f>NETWORKDAYS(DATE(2022,1,1),DATE(2022,12,31))</f>
        <v>260</v>
      </c>
    </row>
    <row r="5" spans="1:5" x14ac:dyDescent="0.3">
      <c r="A5" s="5"/>
      <c r="B5" s="4"/>
      <c r="C5" s="3">
        <f>NETWORKDAYS(DATE(2022,1,1),DATE(2022,12,31), DATE(2022,7,4))</f>
        <v>259</v>
      </c>
    </row>
    <row r="6" spans="1:5" x14ac:dyDescent="0.3">
      <c r="A6" s="5">
        <v>4</v>
      </c>
      <c r="B6" s="4" t="s">
        <v>16</v>
      </c>
      <c r="C6">
        <f>NETWORKDAYS.INTL(DATE(2022,1,1), DATE(2022,12,31), 1, {"2022/07/04","2022/12/25"})</f>
        <v>259</v>
      </c>
    </row>
    <row r="7" spans="1:5" x14ac:dyDescent="0.3">
      <c r="A7" s="5">
        <v>5</v>
      </c>
      <c r="B7" s="4" t="s">
        <v>15</v>
      </c>
      <c r="C7">
        <f>WEEKDAY(DATE(2022,12,25))</f>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5E525-61FC-4F75-8C5A-8684A09E3AB6}">
  <dimension ref="A1:O7"/>
  <sheetViews>
    <sheetView workbookViewId="0">
      <selection activeCell="L8" sqref="L8"/>
    </sheetView>
  </sheetViews>
  <sheetFormatPr defaultRowHeight="14.4" x14ac:dyDescent="0.3"/>
  <cols>
    <col min="2" max="2" width="11.33203125" bestFit="1" customWidth="1"/>
  </cols>
  <sheetData>
    <row r="1" spans="1:15" x14ac:dyDescent="0.3">
      <c r="A1" s="6" t="s">
        <v>18</v>
      </c>
      <c r="B1" s="5"/>
    </row>
    <row r="2" spans="1:15" x14ac:dyDescent="0.3">
      <c r="A2" s="5">
        <v>1</v>
      </c>
      <c r="B2" s="6" t="s">
        <v>19</v>
      </c>
      <c r="C2" t="s">
        <v>20</v>
      </c>
      <c r="H2" t="s">
        <v>21</v>
      </c>
      <c r="L2" s="3">
        <f>FIND("A", H2)</f>
        <v>28</v>
      </c>
    </row>
    <row r="3" spans="1:15" x14ac:dyDescent="0.3">
      <c r="A3" s="5">
        <v>2</v>
      </c>
      <c r="B3" s="6" t="s">
        <v>22</v>
      </c>
      <c r="C3" t="s">
        <v>23</v>
      </c>
      <c r="L3" t="str">
        <f>REPLACE(H2,1,5,"Hi")</f>
        <v>Hi Everyone, My name is Akshay</v>
      </c>
      <c r="O3" t="str">
        <f>REPLACE(L3,FIND("A",L3),6,"Ankita")</f>
        <v>Hi Everyone, My name is Ankita</v>
      </c>
    </row>
    <row r="4" spans="1:15" x14ac:dyDescent="0.3">
      <c r="A4" s="5">
        <v>3</v>
      </c>
      <c r="B4" s="6" t="s">
        <v>24</v>
      </c>
      <c r="C4" t="s">
        <v>25</v>
      </c>
      <c r="H4" t="s">
        <v>21</v>
      </c>
      <c r="L4" t="str">
        <f>SUBSTITUTE(H4,"Akshay", "Ankita")</f>
        <v>Hello Everyone, My name is Ankita</v>
      </c>
    </row>
    <row r="5" spans="1:15" x14ac:dyDescent="0.3">
      <c r="A5" s="5">
        <v>4</v>
      </c>
      <c r="B5" s="6" t="s">
        <v>26</v>
      </c>
      <c r="C5" t="s">
        <v>27</v>
      </c>
      <c r="H5" t="s">
        <v>21</v>
      </c>
      <c r="L5" t="str">
        <f>MID(H5,FIND("E",H5),8)</f>
        <v>Everyone</v>
      </c>
    </row>
    <row r="6" spans="1:15" x14ac:dyDescent="0.3">
      <c r="A6" s="5">
        <v>5</v>
      </c>
      <c r="B6" s="6" t="s">
        <v>28</v>
      </c>
      <c r="C6" t="s">
        <v>29</v>
      </c>
      <c r="L6">
        <f>SEARCH("e", H5)</f>
        <v>2</v>
      </c>
    </row>
    <row r="7" spans="1:15" x14ac:dyDescent="0.3">
      <c r="A7" s="5">
        <v>6</v>
      </c>
      <c r="B7" s="6" t="s">
        <v>30</v>
      </c>
      <c r="C7" t="s">
        <v>31</v>
      </c>
      <c r="L7" t="str">
        <f>_xlfn.CONCAT(L3, ", ",O3)</f>
        <v>Hi Everyone, My name is Akshay, Hi Everyone, My name is Ankita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0E9F7-7464-48E0-A05F-2C6F88153A29}">
  <dimension ref="A1:K14"/>
  <sheetViews>
    <sheetView workbookViewId="0">
      <selection activeCell="O22" sqref="O22"/>
    </sheetView>
  </sheetViews>
  <sheetFormatPr defaultRowHeight="14.4" x14ac:dyDescent="0.3"/>
  <cols>
    <col min="2" max="2" width="13.109375" bestFit="1" customWidth="1"/>
    <col min="6" max="6" width="9.5546875" bestFit="1" customWidth="1"/>
    <col min="7" max="7" width="12.33203125" bestFit="1" customWidth="1"/>
    <col min="8" max="8" width="6.77734375" bestFit="1" customWidth="1"/>
    <col min="9" max="9" width="7.5546875" bestFit="1" customWidth="1"/>
    <col min="10" max="10" width="8" bestFit="1" customWidth="1"/>
  </cols>
  <sheetData>
    <row r="1" spans="1:11" x14ac:dyDescent="0.3">
      <c r="A1" s="4" t="s">
        <v>32</v>
      </c>
      <c r="C1" s="4"/>
      <c r="F1" s="4" t="s">
        <v>39</v>
      </c>
      <c r="G1" s="4" t="s">
        <v>33</v>
      </c>
      <c r="H1" s="4" t="s">
        <v>40</v>
      </c>
      <c r="I1" s="4" t="s">
        <v>41</v>
      </c>
      <c r="J1" s="4" t="s">
        <v>42</v>
      </c>
    </row>
    <row r="2" spans="1:11" x14ac:dyDescent="0.3">
      <c r="A2" s="4">
        <v>1</v>
      </c>
      <c r="B2" s="4" t="s">
        <v>33</v>
      </c>
      <c r="C2">
        <f>PRODUCT(10,10)</f>
        <v>100</v>
      </c>
      <c r="F2" s="1">
        <v>44743</v>
      </c>
      <c r="G2" t="s">
        <v>43</v>
      </c>
      <c r="H2" t="s">
        <v>53</v>
      </c>
      <c r="I2" t="s">
        <v>56</v>
      </c>
      <c r="J2">
        <v>100</v>
      </c>
    </row>
    <row r="3" spans="1:11" x14ac:dyDescent="0.3">
      <c r="A3" s="4">
        <v>2</v>
      </c>
      <c r="B3" s="4" t="s">
        <v>34</v>
      </c>
      <c r="C3">
        <f>MOD(20,7)</f>
        <v>6</v>
      </c>
      <c r="F3" s="1">
        <v>44744</v>
      </c>
      <c r="G3" t="s">
        <v>44</v>
      </c>
      <c r="H3" t="s">
        <v>54</v>
      </c>
      <c r="I3" t="s">
        <v>57</v>
      </c>
      <c r="J3">
        <v>50</v>
      </c>
    </row>
    <row r="4" spans="1:11" x14ac:dyDescent="0.3">
      <c r="A4" s="4">
        <v>3</v>
      </c>
      <c r="B4" s="4" t="s">
        <v>2</v>
      </c>
      <c r="C4">
        <f>SQRT(100)</f>
        <v>10</v>
      </c>
      <c r="F4" s="1">
        <v>44745</v>
      </c>
      <c r="G4" t="s">
        <v>45</v>
      </c>
      <c r="H4" t="s">
        <v>55</v>
      </c>
      <c r="I4" t="s">
        <v>58</v>
      </c>
      <c r="J4">
        <v>250</v>
      </c>
    </row>
    <row r="5" spans="1:11" x14ac:dyDescent="0.3">
      <c r="A5" s="4">
        <v>4</v>
      </c>
      <c r="B5" s="4" t="s">
        <v>35</v>
      </c>
      <c r="C5">
        <f>FACT(6)</f>
        <v>720</v>
      </c>
      <c r="F5" s="1">
        <v>44746</v>
      </c>
      <c r="G5" t="s">
        <v>46</v>
      </c>
      <c r="H5" t="s">
        <v>53</v>
      </c>
      <c r="I5" t="s">
        <v>59</v>
      </c>
      <c r="J5">
        <v>300</v>
      </c>
    </row>
    <row r="6" spans="1:11" x14ac:dyDescent="0.3">
      <c r="A6" s="4">
        <v>5</v>
      </c>
      <c r="B6" s="4" t="s">
        <v>36</v>
      </c>
      <c r="C6">
        <f>ROUNDUP(563.368,2)</f>
        <v>563.37</v>
      </c>
      <c r="F6" s="1">
        <v>44747</v>
      </c>
      <c r="G6" t="s">
        <v>47</v>
      </c>
      <c r="H6" t="s">
        <v>54</v>
      </c>
      <c r="I6" t="s">
        <v>56</v>
      </c>
      <c r="J6">
        <v>900</v>
      </c>
    </row>
    <row r="7" spans="1:11" x14ac:dyDescent="0.3">
      <c r="A7" s="4">
        <v>6</v>
      </c>
      <c r="B7" s="4" t="s">
        <v>37</v>
      </c>
      <c r="C7">
        <f>ROUNDDOWN(450.2989,2)</f>
        <v>450.29</v>
      </c>
      <c r="F7" s="1">
        <v>44748</v>
      </c>
      <c r="G7" t="s">
        <v>48</v>
      </c>
      <c r="H7" t="s">
        <v>55</v>
      </c>
      <c r="I7" t="s">
        <v>57</v>
      </c>
      <c r="J7">
        <v>4500</v>
      </c>
    </row>
    <row r="8" spans="1:11" x14ac:dyDescent="0.3">
      <c r="A8" s="4">
        <v>7</v>
      </c>
      <c r="B8" s="4" t="s">
        <v>60</v>
      </c>
      <c r="C8">
        <f xml:space="preserve"> SUMIF(H2:H11, "RED",J2:J11)</f>
        <v>6900</v>
      </c>
      <c r="F8" s="1">
        <v>44749</v>
      </c>
      <c r="G8" t="s">
        <v>49</v>
      </c>
      <c r="H8" t="s">
        <v>53</v>
      </c>
      <c r="I8" t="s">
        <v>58</v>
      </c>
      <c r="J8">
        <v>4000</v>
      </c>
    </row>
    <row r="9" spans="1:11" x14ac:dyDescent="0.3">
      <c r="A9" s="4">
        <v>8</v>
      </c>
      <c r="B9" s="4" t="s">
        <v>38</v>
      </c>
      <c r="C9">
        <f>SUMIFS(J2:J11,H2:H11, "RED",I2:I11, "UP")</f>
        <v>2500</v>
      </c>
      <c r="F9" s="1">
        <v>44750</v>
      </c>
      <c r="G9" t="s">
        <v>50</v>
      </c>
      <c r="H9" t="s">
        <v>54</v>
      </c>
      <c r="I9" t="s">
        <v>59</v>
      </c>
      <c r="J9">
        <v>1000</v>
      </c>
    </row>
    <row r="10" spans="1:11" x14ac:dyDescent="0.3">
      <c r="A10" s="4">
        <v>9</v>
      </c>
      <c r="B10" s="4" t="s">
        <v>61</v>
      </c>
      <c r="C10">
        <f>AVERAGE(J2:J11)</f>
        <v>1860</v>
      </c>
      <c r="F10" s="1">
        <v>44751</v>
      </c>
      <c r="G10" t="s">
        <v>51</v>
      </c>
      <c r="H10" t="s">
        <v>55</v>
      </c>
      <c r="I10" t="s">
        <v>56</v>
      </c>
      <c r="J10">
        <v>5000</v>
      </c>
    </row>
    <row r="11" spans="1:11" x14ac:dyDescent="0.3">
      <c r="A11" s="4">
        <v>10</v>
      </c>
      <c r="B11" s="4" t="s">
        <v>62</v>
      </c>
      <c r="C11">
        <f>AVERAGEIF(H2:H11, "YELLOW", J2:J11)</f>
        <v>650</v>
      </c>
      <c r="F11" s="1">
        <v>44752</v>
      </c>
      <c r="G11" t="s">
        <v>52</v>
      </c>
      <c r="H11" t="s">
        <v>53</v>
      </c>
      <c r="I11" t="s">
        <v>57</v>
      </c>
      <c r="J11">
        <v>2500</v>
      </c>
    </row>
    <row r="12" spans="1:11" x14ac:dyDescent="0.3">
      <c r="A12" s="4">
        <v>11</v>
      </c>
      <c r="B12" s="4" t="s">
        <v>63</v>
      </c>
      <c r="C12">
        <f>AVERAGEIFS(J2:J11, H2:H11, "GREEN", I2:I11, "AP")</f>
        <v>5000</v>
      </c>
      <c r="I12" t="s">
        <v>6</v>
      </c>
      <c r="J12">
        <f>SUM(J2:J11)</f>
        <v>18600</v>
      </c>
    </row>
    <row r="13" spans="1:11" x14ac:dyDescent="0.3">
      <c r="I13" t="s">
        <v>60</v>
      </c>
      <c r="J13">
        <f>SUMIF(H2:H11, "RED", J2:J11)</f>
        <v>6900</v>
      </c>
      <c r="K13">
        <f>SUMIF(H2:H11, "GREEN", J2:J11)</f>
        <v>9750</v>
      </c>
    </row>
    <row r="14" spans="1:11" x14ac:dyDescent="0.3">
      <c r="I14" t="s">
        <v>38</v>
      </c>
      <c r="J14">
        <f>SUMIFS(J2:J11, H2:H11, "RED", I2:I11, "UP")</f>
        <v>2500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581FB-3967-4E05-8C0F-8E75BD257721}">
  <dimension ref="A1:P23"/>
  <sheetViews>
    <sheetView workbookViewId="0">
      <selection activeCell="G11" sqref="G11"/>
    </sheetView>
  </sheetViews>
  <sheetFormatPr defaultRowHeight="14.4" x14ac:dyDescent="0.3"/>
  <cols>
    <col min="1" max="1" width="9.77734375" customWidth="1"/>
    <col min="2" max="2" width="15.33203125" customWidth="1"/>
    <col min="3" max="3" width="7" customWidth="1"/>
    <col min="4" max="4" width="12.44140625" customWidth="1"/>
    <col min="6" max="6" width="10.5546875" bestFit="1" customWidth="1"/>
  </cols>
  <sheetData>
    <row r="1" spans="1:16" x14ac:dyDescent="0.3">
      <c r="A1" s="7" t="s">
        <v>64</v>
      </c>
      <c r="F1" s="7" t="s">
        <v>81</v>
      </c>
    </row>
    <row r="3" spans="1:16" x14ac:dyDescent="0.3">
      <c r="A3" s="9" t="s">
        <v>65</v>
      </c>
      <c r="B3" s="10" t="s">
        <v>66</v>
      </c>
      <c r="C3" s="10" t="s">
        <v>67</v>
      </c>
      <c r="D3" s="11" t="s">
        <v>68</v>
      </c>
      <c r="F3" s="18" t="s">
        <v>65</v>
      </c>
      <c r="G3" s="13">
        <v>1</v>
      </c>
      <c r="H3" s="13">
        <v>2</v>
      </c>
      <c r="I3" s="13">
        <v>3</v>
      </c>
      <c r="J3" s="13">
        <v>4</v>
      </c>
      <c r="K3" s="13">
        <v>5</v>
      </c>
      <c r="L3" s="13">
        <v>6</v>
      </c>
      <c r="M3" s="13">
        <v>7</v>
      </c>
      <c r="N3" s="13">
        <v>8</v>
      </c>
      <c r="O3" s="13">
        <v>9</v>
      </c>
      <c r="P3" s="13">
        <v>10</v>
      </c>
    </row>
    <row r="4" spans="1:16" x14ac:dyDescent="0.3">
      <c r="A4" s="12">
        <v>1</v>
      </c>
      <c r="B4" s="13" t="s">
        <v>69</v>
      </c>
      <c r="C4" s="13" t="s">
        <v>78</v>
      </c>
      <c r="D4" s="14">
        <v>90000</v>
      </c>
      <c r="F4" s="18" t="s">
        <v>66</v>
      </c>
      <c r="G4" s="19" t="s">
        <v>69</v>
      </c>
      <c r="H4" s="20" t="s">
        <v>70</v>
      </c>
      <c r="I4" s="19" t="s">
        <v>71</v>
      </c>
      <c r="J4" s="20" t="s">
        <v>72</v>
      </c>
      <c r="K4" s="19" t="s">
        <v>73</v>
      </c>
      <c r="L4" s="20" t="s">
        <v>74</v>
      </c>
      <c r="M4" s="19" t="s">
        <v>69</v>
      </c>
      <c r="N4" s="20" t="s">
        <v>75</v>
      </c>
      <c r="O4" s="19" t="s">
        <v>76</v>
      </c>
      <c r="P4" s="20" t="s">
        <v>77</v>
      </c>
    </row>
    <row r="5" spans="1:16" x14ac:dyDescent="0.3">
      <c r="A5" s="12">
        <v>2</v>
      </c>
      <c r="B5" s="13" t="s">
        <v>70</v>
      </c>
      <c r="C5" s="13" t="s">
        <v>78</v>
      </c>
      <c r="D5" s="14">
        <v>14000</v>
      </c>
      <c r="F5" s="18" t="s">
        <v>67</v>
      </c>
      <c r="G5" s="19" t="s">
        <v>78</v>
      </c>
      <c r="H5" s="20" t="s">
        <v>78</v>
      </c>
      <c r="I5" s="19" t="s">
        <v>78</v>
      </c>
      <c r="J5" s="20" t="s">
        <v>78</v>
      </c>
      <c r="K5" s="19" t="s">
        <v>78</v>
      </c>
      <c r="L5" s="20" t="s">
        <v>79</v>
      </c>
      <c r="M5" s="19" t="s">
        <v>79</v>
      </c>
      <c r="N5" s="20" t="s">
        <v>78</v>
      </c>
      <c r="O5" s="19" t="s">
        <v>80</v>
      </c>
      <c r="P5" s="20" t="s">
        <v>80</v>
      </c>
    </row>
    <row r="6" spans="1:16" x14ac:dyDescent="0.3">
      <c r="A6" s="12">
        <v>3</v>
      </c>
      <c r="B6" s="13" t="s">
        <v>71</v>
      </c>
      <c r="C6" s="13" t="s">
        <v>78</v>
      </c>
      <c r="D6" s="14">
        <v>35000</v>
      </c>
      <c r="F6" s="18" t="s">
        <v>68</v>
      </c>
      <c r="G6" s="19">
        <v>90000</v>
      </c>
      <c r="H6" s="20">
        <v>14000</v>
      </c>
      <c r="I6" s="19">
        <v>35000</v>
      </c>
      <c r="J6" s="20">
        <v>45000</v>
      </c>
      <c r="K6" s="19">
        <v>90000</v>
      </c>
      <c r="L6" s="20">
        <v>95000</v>
      </c>
      <c r="M6" s="19">
        <v>125000</v>
      </c>
      <c r="N6" s="20">
        <v>15000</v>
      </c>
      <c r="O6" s="19">
        <v>60000</v>
      </c>
      <c r="P6" s="20">
        <v>70000</v>
      </c>
    </row>
    <row r="7" spans="1:16" x14ac:dyDescent="0.3">
      <c r="A7" s="12">
        <v>4</v>
      </c>
      <c r="B7" s="13" t="s">
        <v>72</v>
      </c>
      <c r="C7" s="13" t="s">
        <v>78</v>
      </c>
      <c r="D7" s="14">
        <v>35000</v>
      </c>
    </row>
    <row r="8" spans="1:16" x14ac:dyDescent="0.3">
      <c r="A8" s="12">
        <v>5</v>
      </c>
      <c r="B8" s="13" t="s">
        <v>73</v>
      </c>
      <c r="C8" s="13" t="s">
        <v>78</v>
      </c>
      <c r="D8" s="14">
        <v>90000</v>
      </c>
      <c r="G8" t="s">
        <v>82</v>
      </c>
      <c r="I8">
        <f>HLOOKUP(I4, G4:P6,3,0)</f>
        <v>35000</v>
      </c>
      <c r="J8" t="str">
        <f>HLOOKUP(I4, G4:P6, 2, 0)</f>
        <v>Mobile</v>
      </c>
    </row>
    <row r="9" spans="1:16" x14ac:dyDescent="0.3">
      <c r="A9" s="12">
        <v>6</v>
      </c>
      <c r="B9" s="13" t="s">
        <v>74</v>
      </c>
      <c r="C9" s="13" t="s">
        <v>79</v>
      </c>
      <c r="D9" s="14">
        <v>95000</v>
      </c>
      <c r="G9" t="s">
        <v>72</v>
      </c>
      <c r="I9">
        <f>HLOOKUP(J4, G4:P6, 3, 0)</f>
        <v>45000</v>
      </c>
      <c r="J9" t="str">
        <f>HLOOKUP(J4, G4:P6, 2,0)</f>
        <v>Mobile</v>
      </c>
    </row>
    <row r="10" spans="1:16" x14ac:dyDescent="0.3">
      <c r="A10" s="12">
        <v>7</v>
      </c>
      <c r="B10" s="13" t="s">
        <v>83</v>
      </c>
      <c r="C10" s="13" t="s">
        <v>79</v>
      </c>
      <c r="D10" s="14">
        <v>125000</v>
      </c>
      <c r="G10" t="s">
        <v>75</v>
      </c>
      <c r="I10">
        <f>HLOOKUP(N4, G4:P6, 3, 0)</f>
        <v>15000</v>
      </c>
      <c r="J10" t="str">
        <f>HLOOKUP(O4, G4:P6, 2, 0)</f>
        <v>Camera</v>
      </c>
    </row>
    <row r="11" spans="1:16" x14ac:dyDescent="0.3">
      <c r="A11" s="12">
        <v>8</v>
      </c>
      <c r="B11" s="13" t="s">
        <v>75</v>
      </c>
      <c r="C11" s="13" t="s">
        <v>78</v>
      </c>
      <c r="D11" s="14">
        <v>15000</v>
      </c>
    </row>
    <row r="12" spans="1:16" x14ac:dyDescent="0.3">
      <c r="A12" s="12">
        <v>9</v>
      </c>
      <c r="B12" s="13" t="s">
        <v>76</v>
      </c>
      <c r="C12" s="13" t="s">
        <v>80</v>
      </c>
      <c r="D12" s="14">
        <v>60000</v>
      </c>
    </row>
    <row r="13" spans="1:16" x14ac:dyDescent="0.3">
      <c r="A13" s="15">
        <v>10</v>
      </c>
      <c r="B13" s="16" t="s">
        <v>77</v>
      </c>
      <c r="C13" s="16" t="s">
        <v>80</v>
      </c>
      <c r="D13" s="17">
        <v>70000</v>
      </c>
    </row>
    <row r="15" spans="1:16" x14ac:dyDescent="0.3">
      <c r="B15" t="s">
        <v>69</v>
      </c>
      <c r="D15">
        <f>VLOOKUP(B4,Table1[[Description]:[Price in INR]],3,0)</f>
        <v>90000</v>
      </c>
    </row>
    <row r="16" spans="1:16" x14ac:dyDescent="0.3">
      <c r="B16" t="s">
        <v>74</v>
      </c>
      <c r="D16">
        <f>VLOOKUP(B9,Table1[[Description]:[Price in INR]], 3,0)</f>
        <v>95000</v>
      </c>
    </row>
    <row r="17" spans="1:6" x14ac:dyDescent="0.3">
      <c r="B17" t="s">
        <v>77</v>
      </c>
      <c r="D17">
        <f>VLOOKUP(B13, Table1[[Description]:[Price in INR]], 3, 0)</f>
        <v>70000</v>
      </c>
    </row>
    <row r="18" spans="1:6" x14ac:dyDescent="0.3">
      <c r="B18" t="s">
        <v>69</v>
      </c>
      <c r="D18" t="str">
        <f>VLOOKUP(B4, Table1[[Description]:[Price in INR]], 2,0)</f>
        <v>Mobile</v>
      </c>
    </row>
    <row r="19" spans="1:6" x14ac:dyDescent="0.3">
      <c r="B19" t="s">
        <v>69</v>
      </c>
      <c r="D19" t="str">
        <f>VLOOKUP(B10, Table1[[Description]:[Price in INR]], 2, 0)</f>
        <v>Laptop</v>
      </c>
    </row>
    <row r="21" spans="1:6" x14ac:dyDescent="0.3">
      <c r="A21" s="7" t="s">
        <v>84</v>
      </c>
      <c r="F21" s="7" t="s">
        <v>85</v>
      </c>
    </row>
    <row r="22" spans="1:6" x14ac:dyDescent="0.3">
      <c r="A22" t="s">
        <v>69</v>
      </c>
      <c r="B22">
        <f>MATCH(B4, Table1[Description],0)</f>
        <v>1</v>
      </c>
      <c r="F22">
        <f>INDEX(Table1[[Description]:[Price in INR]], 8, 3)</f>
        <v>15000</v>
      </c>
    </row>
    <row r="23" spans="1:6" x14ac:dyDescent="0.3">
      <c r="A23" t="s">
        <v>76</v>
      </c>
      <c r="B23">
        <f>MATCH(B12, Table1[Description], 0)</f>
        <v>9</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47622-A63D-45A5-B4DD-B01E98777F7F}">
  <dimension ref="A1:N20"/>
  <sheetViews>
    <sheetView topLeftCell="J1" workbookViewId="0">
      <selection activeCell="M20" sqref="M20"/>
    </sheetView>
  </sheetViews>
  <sheetFormatPr defaultRowHeight="14.4" x14ac:dyDescent="0.3"/>
  <cols>
    <col min="1" max="1" width="7.21875" customWidth="1"/>
    <col min="2" max="2" width="11.77734375" customWidth="1"/>
    <col min="3" max="3" width="15.44140625" bestFit="1" customWidth="1"/>
    <col min="7" max="8" width="9" customWidth="1"/>
    <col min="9" max="9" width="11.33203125" customWidth="1"/>
    <col min="10" max="11" width="13.88671875" customWidth="1"/>
    <col min="12" max="12" width="15.21875" customWidth="1"/>
    <col min="13" max="13" width="20.21875" bestFit="1" customWidth="1"/>
    <col min="14" max="14" width="14" customWidth="1"/>
  </cols>
  <sheetData>
    <row r="1" spans="1:14" x14ac:dyDescent="0.3">
      <c r="B1" s="21" t="s">
        <v>86</v>
      </c>
      <c r="C1" s="21" t="s">
        <v>87</v>
      </c>
      <c r="D1" s="8"/>
      <c r="E1" s="8"/>
      <c r="F1" s="21" t="s">
        <v>90</v>
      </c>
      <c r="G1" s="21" t="s">
        <v>91</v>
      </c>
    </row>
    <row r="2" spans="1:14" x14ac:dyDescent="0.3">
      <c r="K2" s="22" t="s">
        <v>112</v>
      </c>
      <c r="L2" s="22" t="s">
        <v>113</v>
      </c>
    </row>
    <row r="3" spans="1:14" x14ac:dyDescent="0.3">
      <c r="A3" s="9" t="s">
        <v>88</v>
      </c>
      <c r="B3" s="10" t="s">
        <v>89</v>
      </c>
      <c r="C3" s="11" t="s">
        <v>92</v>
      </c>
      <c r="F3" s="23" t="s">
        <v>93</v>
      </c>
      <c r="G3" s="24" t="s">
        <v>94</v>
      </c>
      <c r="H3" s="24" t="s">
        <v>95</v>
      </c>
      <c r="I3" s="24" t="s">
        <v>96</v>
      </c>
      <c r="J3" s="24" t="s">
        <v>101</v>
      </c>
      <c r="K3" s="24" t="s">
        <v>97</v>
      </c>
      <c r="L3" s="24" t="s">
        <v>98</v>
      </c>
      <c r="M3" s="24" t="s">
        <v>99</v>
      </c>
      <c r="N3" s="25" t="s">
        <v>100</v>
      </c>
    </row>
    <row r="4" spans="1:14" x14ac:dyDescent="0.3">
      <c r="A4" s="12">
        <v>80</v>
      </c>
      <c r="B4" s="13" t="str">
        <f>IF(A4&gt;=80,"Above 80","Below 80")</f>
        <v>Above 80</v>
      </c>
      <c r="C4" s="14" t="str">
        <f>IF(A4&gt;=80,"Above 80",IF(A4&gt;=70,"Between 70 to 79",IF(A4&gt;=60,"Between 60 to 69",IF(A4&gt;=50,"Between 50 to 59",IF(A4&gt;=40,"Between 40 to 49",IF(A4&gt;=30,"Between 30 to 39",IF(A4&gt;=20,"Between 20 to 29","Below 20")))))))</f>
        <v>Above 80</v>
      </c>
      <c r="F4" s="12" t="s">
        <v>102</v>
      </c>
      <c r="G4" s="13" t="s">
        <v>110</v>
      </c>
      <c r="H4" s="13">
        <v>80</v>
      </c>
      <c r="I4" s="13">
        <v>65</v>
      </c>
      <c r="J4" s="13">
        <v>75</v>
      </c>
      <c r="K4" s="13" t="b">
        <f>OR(H4&lt;35, I4&lt;35, J4&lt;35)</f>
        <v>0</v>
      </c>
      <c r="L4" s="13" t="b">
        <f>AND(H4&lt;35, I4&lt;35, J4&lt;35)</f>
        <v>0</v>
      </c>
      <c r="M4" s="13" t="str">
        <f>IF(K4,"Partial or Complete Fail", "Pass")</f>
        <v>Pass</v>
      </c>
      <c r="N4" s="14" t="str">
        <f>IF(L4,"Complete Fail", "Pass")</f>
        <v>Pass</v>
      </c>
    </row>
    <row r="5" spans="1:14" x14ac:dyDescent="0.3">
      <c r="A5" s="12">
        <v>45</v>
      </c>
      <c r="B5" s="13" t="str">
        <f t="shared" ref="B5:B20" si="0">IF(A5&gt;=80,"Above 80","Below 80")</f>
        <v>Below 80</v>
      </c>
      <c r="C5" s="14" t="str">
        <f t="shared" ref="C5:C20" si="1">IF(A5&gt;=80,"Above 80",IF(A5&gt;=70,"Between 70 to 79",IF(A5&gt;=60,"Between 60 to 69",IF(A5&gt;=50,"Between 50 to 59",IF(A5&gt;=40,"Between 40 to 49",IF(A5&gt;=30,"Between 30 to 39",IF(A5&gt;=20,"Between 20 to 29","Below 20")))))))</f>
        <v>Between 40 to 49</v>
      </c>
      <c r="F5" s="12" t="s">
        <v>103</v>
      </c>
      <c r="G5" s="13" t="s">
        <v>111</v>
      </c>
      <c r="H5" s="13">
        <v>89</v>
      </c>
      <c r="I5" s="13">
        <v>64</v>
      </c>
      <c r="J5" s="13">
        <v>77</v>
      </c>
      <c r="K5" s="13" t="b">
        <f t="shared" ref="K5:K11" si="2">OR(H5&lt;35, I5&lt;35, J5&lt;35)</f>
        <v>0</v>
      </c>
      <c r="L5" s="13" t="b">
        <f t="shared" ref="L5:L11" si="3">AND(H5&lt;35, I5&lt;35, J5&lt;35)</f>
        <v>0</v>
      </c>
      <c r="M5" s="13" t="str">
        <f t="shared" ref="M5:M11" si="4">IF(K5,"Partial or Complete Fail", "Pass")</f>
        <v>Pass</v>
      </c>
      <c r="N5" s="14" t="str">
        <f t="shared" ref="N5:N11" si="5">IF(L5,"Complete Fail", "Pass")</f>
        <v>Pass</v>
      </c>
    </row>
    <row r="6" spans="1:14" x14ac:dyDescent="0.3">
      <c r="A6" s="12">
        <v>42</v>
      </c>
      <c r="B6" s="13" t="str">
        <f t="shared" si="0"/>
        <v>Below 80</v>
      </c>
      <c r="C6" s="14" t="str">
        <f t="shared" si="1"/>
        <v>Between 40 to 49</v>
      </c>
      <c r="F6" s="12" t="s">
        <v>104</v>
      </c>
      <c r="G6" s="13" t="s">
        <v>110</v>
      </c>
      <c r="H6" s="13">
        <v>78</v>
      </c>
      <c r="I6" s="13">
        <v>75</v>
      </c>
      <c r="J6" s="13">
        <v>53</v>
      </c>
      <c r="K6" s="13" t="b">
        <f t="shared" si="2"/>
        <v>0</v>
      </c>
      <c r="L6" s="13" t="b">
        <f t="shared" si="3"/>
        <v>0</v>
      </c>
      <c r="M6" s="13" t="str">
        <f t="shared" si="4"/>
        <v>Pass</v>
      </c>
      <c r="N6" s="14" t="str">
        <f t="shared" si="5"/>
        <v>Pass</v>
      </c>
    </row>
    <row r="7" spans="1:14" x14ac:dyDescent="0.3">
      <c r="A7" s="12">
        <v>78</v>
      </c>
      <c r="B7" s="13" t="str">
        <f t="shared" si="0"/>
        <v>Below 80</v>
      </c>
      <c r="C7" s="14" t="str">
        <f t="shared" si="1"/>
        <v>Between 70 to 79</v>
      </c>
      <c r="F7" s="12" t="s">
        <v>105</v>
      </c>
      <c r="G7" s="13" t="s">
        <v>111</v>
      </c>
      <c r="H7" s="13">
        <v>89</v>
      </c>
      <c r="I7" s="13">
        <v>48</v>
      </c>
      <c r="J7" s="13">
        <v>62</v>
      </c>
      <c r="K7" s="13" t="b">
        <f t="shared" si="2"/>
        <v>0</v>
      </c>
      <c r="L7" s="13" t="b">
        <f t="shared" si="3"/>
        <v>0</v>
      </c>
      <c r="M7" s="13" t="str">
        <f t="shared" si="4"/>
        <v>Pass</v>
      </c>
      <c r="N7" s="14" t="str">
        <f t="shared" si="5"/>
        <v>Pass</v>
      </c>
    </row>
    <row r="8" spans="1:14" x14ac:dyDescent="0.3">
      <c r="A8" s="12">
        <v>66</v>
      </c>
      <c r="B8" s="13" t="str">
        <f t="shared" si="0"/>
        <v>Below 80</v>
      </c>
      <c r="C8" s="14" t="str">
        <f t="shared" si="1"/>
        <v>Between 60 to 69</v>
      </c>
      <c r="F8" s="12" t="s">
        <v>106</v>
      </c>
      <c r="G8" s="13" t="s">
        <v>110</v>
      </c>
      <c r="H8" s="26">
        <v>34</v>
      </c>
      <c r="I8" s="13">
        <v>55</v>
      </c>
      <c r="J8" s="13">
        <v>60</v>
      </c>
      <c r="K8" s="13" t="b">
        <f t="shared" si="2"/>
        <v>1</v>
      </c>
      <c r="L8" s="13" t="b">
        <f t="shared" si="3"/>
        <v>0</v>
      </c>
      <c r="M8" s="13" t="str">
        <f t="shared" si="4"/>
        <v>Partial or Complete Fail</v>
      </c>
      <c r="N8" s="14" t="str">
        <f t="shared" si="5"/>
        <v>Pass</v>
      </c>
    </row>
    <row r="9" spans="1:14" x14ac:dyDescent="0.3">
      <c r="A9" s="12">
        <v>12</v>
      </c>
      <c r="B9" s="13" t="str">
        <f t="shared" si="0"/>
        <v>Below 80</v>
      </c>
      <c r="C9" s="14" t="str">
        <f t="shared" si="1"/>
        <v>Below 20</v>
      </c>
      <c r="F9" s="12" t="s">
        <v>107</v>
      </c>
      <c r="G9" s="13" t="s">
        <v>111</v>
      </c>
      <c r="H9" s="13">
        <v>65</v>
      </c>
      <c r="I9" s="26">
        <v>31</v>
      </c>
      <c r="J9" s="13">
        <v>65</v>
      </c>
      <c r="K9" s="13" t="b">
        <f t="shared" si="2"/>
        <v>1</v>
      </c>
      <c r="L9" s="13" t="b">
        <f t="shared" si="3"/>
        <v>0</v>
      </c>
      <c r="M9" s="13" t="str">
        <f t="shared" si="4"/>
        <v>Partial or Complete Fail</v>
      </c>
      <c r="N9" s="14" t="str">
        <f t="shared" si="5"/>
        <v>Pass</v>
      </c>
    </row>
    <row r="10" spans="1:14" x14ac:dyDescent="0.3">
      <c r="A10" s="12">
        <v>9</v>
      </c>
      <c r="B10" s="13" t="str">
        <f t="shared" si="0"/>
        <v>Below 80</v>
      </c>
      <c r="C10" s="14" t="str">
        <f t="shared" si="1"/>
        <v>Below 20</v>
      </c>
      <c r="F10" s="12" t="s">
        <v>108</v>
      </c>
      <c r="G10" s="13" t="s">
        <v>110</v>
      </c>
      <c r="H10" s="13">
        <v>88</v>
      </c>
      <c r="I10" s="13">
        <v>77</v>
      </c>
      <c r="J10" s="26">
        <v>22</v>
      </c>
      <c r="K10" s="13" t="b">
        <f t="shared" si="2"/>
        <v>1</v>
      </c>
      <c r="L10" s="13" t="b">
        <f t="shared" si="3"/>
        <v>0</v>
      </c>
      <c r="M10" s="13" t="str">
        <f t="shared" si="4"/>
        <v>Partial or Complete Fail</v>
      </c>
      <c r="N10" s="14" t="str">
        <f t="shared" si="5"/>
        <v>Pass</v>
      </c>
    </row>
    <row r="11" spans="1:14" x14ac:dyDescent="0.3">
      <c r="A11" s="12">
        <v>55</v>
      </c>
      <c r="B11" s="13" t="str">
        <f t="shared" si="0"/>
        <v>Below 80</v>
      </c>
      <c r="C11" s="14" t="str">
        <f t="shared" si="1"/>
        <v>Between 50 to 59</v>
      </c>
      <c r="F11" s="15" t="s">
        <v>109</v>
      </c>
      <c r="G11" s="16" t="s">
        <v>111</v>
      </c>
      <c r="H11" s="27">
        <v>32</v>
      </c>
      <c r="I11" s="27">
        <v>25</v>
      </c>
      <c r="J11" s="27">
        <v>15</v>
      </c>
      <c r="K11" s="16" t="b">
        <f t="shared" si="2"/>
        <v>1</v>
      </c>
      <c r="L11" s="16" t="b">
        <f t="shared" si="3"/>
        <v>1</v>
      </c>
      <c r="M11" s="16" t="str">
        <f t="shared" si="4"/>
        <v>Partial or Complete Fail</v>
      </c>
      <c r="N11" s="17" t="str">
        <f t="shared" si="5"/>
        <v>Complete Fail</v>
      </c>
    </row>
    <row r="12" spans="1:14" x14ac:dyDescent="0.3">
      <c r="A12" s="12">
        <v>96</v>
      </c>
      <c r="B12" s="13" t="str">
        <f t="shared" si="0"/>
        <v>Above 80</v>
      </c>
      <c r="C12" s="14" t="str">
        <f t="shared" si="1"/>
        <v>Above 80</v>
      </c>
    </row>
    <row r="13" spans="1:14" x14ac:dyDescent="0.3">
      <c r="A13" s="12">
        <v>21</v>
      </c>
      <c r="B13" s="13" t="str">
        <f t="shared" si="0"/>
        <v>Below 80</v>
      </c>
      <c r="C13" s="14" t="str">
        <f t="shared" si="1"/>
        <v>Between 20 to 29</v>
      </c>
    </row>
    <row r="14" spans="1:14" x14ac:dyDescent="0.3">
      <c r="A14" s="12">
        <v>35</v>
      </c>
      <c r="B14" s="13" t="str">
        <f t="shared" si="0"/>
        <v>Below 80</v>
      </c>
      <c r="C14" s="14" t="str">
        <f t="shared" si="1"/>
        <v>Between 30 to 39</v>
      </c>
    </row>
    <row r="15" spans="1:14" x14ac:dyDescent="0.3">
      <c r="A15" s="12">
        <v>41</v>
      </c>
      <c r="B15" s="13" t="str">
        <f t="shared" si="0"/>
        <v>Below 80</v>
      </c>
      <c r="C15" s="14" t="str">
        <f t="shared" si="1"/>
        <v>Between 40 to 49</v>
      </c>
    </row>
    <row r="16" spans="1:14" x14ac:dyDescent="0.3">
      <c r="A16" s="12">
        <v>19</v>
      </c>
      <c r="B16" s="13" t="str">
        <f t="shared" si="0"/>
        <v>Below 80</v>
      </c>
      <c r="C16" s="14" t="str">
        <f t="shared" si="1"/>
        <v>Below 20</v>
      </c>
    </row>
    <row r="17" spans="1:3" x14ac:dyDescent="0.3">
      <c r="A17" s="12">
        <v>25</v>
      </c>
      <c r="B17" s="13" t="str">
        <f t="shared" si="0"/>
        <v>Below 80</v>
      </c>
      <c r="C17" s="14" t="str">
        <f t="shared" si="1"/>
        <v>Between 20 to 29</v>
      </c>
    </row>
    <row r="18" spans="1:3" x14ac:dyDescent="0.3">
      <c r="A18" s="12">
        <v>65</v>
      </c>
      <c r="B18" s="13" t="str">
        <f t="shared" si="0"/>
        <v>Below 80</v>
      </c>
      <c r="C18" s="14" t="str">
        <f t="shared" si="1"/>
        <v>Between 60 to 69</v>
      </c>
    </row>
    <row r="19" spans="1:3" x14ac:dyDescent="0.3">
      <c r="A19" s="12">
        <v>85</v>
      </c>
      <c r="B19" s="13" t="str">
        <f t="shared" si="0"/>
        <v>Above 80</v>
      </c>
      <c r="C19" s="14" t="str">
        <f t="shared" si="1"/>
        <v>Above 80</v>
      </c>
    </row>
    <row r="20" spans="1:3" x14ac:dyDescent="0.3">
      <c r="A20" s="15">
        <v>74</v>
      </c>
      <c r="B20" s="16" t="str">
        <f t="shared" si="0"/>
        <v>Below 80</v>
      </c>
      <c r="C20" s="17" t="str">
        <f t="shared" si="1"/>
        <v>Between 70 to 79</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C3C79-88EB-4990-991B-A79432B54254}">
  <dimension ref="A1:N48"/>
  <sheetViews>
    <sheetView topLeftCell="A26" workbookViewId="0">
      <selection activeCell="D25" sqref="D25"/>
    </sheetView>
  </sheetViews>
  <sheetFormatPr defaultRowHeight="14.4" x14ac:dyDescent="0.3"/>
  <cols>
    <col min="1" max="1" width="13.44140625" customWidth="1"/>
    <col min="2" max="2" width="36.109375" bestFit="1" customWidth="1"/>
    <col min="3" max="3" width="11" bestFit="1" customWidth="1"/>
    <col min="4" max="4" width="12.5546875" customWidth="1"/>
    <col min="5" max="5" width="12.109375" customWidth="1"/>
    <col min="6" max="6" width="9" customWidth="1"/>
    <col min="7" max="7" width="6.109375" customWidth="1"/>
    <col min="8" max="8" width="8.77734375" customWidth="1"/>
    <col min="9" max="9" width="10" bestFit="1" customWidth="1"/>
    <col min="10" max="10" width="16.44140625" customWidth="1"/>
    <col min="11" max="11" width="11.5546875" customWidth="1"/>
    <col min="12" max="12" width="16.6640625" customWidth="1"/>
    <col min="13" max="13" width="16.33203125" customWidth="1"/>
    <col min="14" max="14" width="8" customWidth="1"/>
  </cols>
  <sheetData>
    <row r="1" spans="1:14" ht="28.8" x14ac:dyDescent="0.55000000000000004">
      <c r="B1" s="30" t="s">
        <v>114</v>
      </c>
    </row>
    <row r="4" spans="1:14" x14ac:dyDescent="0.3">
      <c r="A4" s="9" t="s">
        <v>115</v>
      </c>
      <c r="B4" s="10" t="s">
        <v>116</v>
      </c>
      <c r="C4" s="10" t="s">
        <v>117</v>
      </c>
      <c r="D4" s="10" t="s">
        <v>118</v>
      </c>
      <c r="E4" s="10" t="s">
        <v>119</v>
      </c>
      <c r="F4" s="10" t="s">
        <v>94</v>
      </c>
      <c r="G4" s="10" t="s">
        <v>88</v>
      </c>
      <c r="H4" s="10" t="s">
        <v>120</v>
      </c>
      <c r="I4" s="10" t="s">
        <v>121</v>
      </c>
      <c r="J4" s="10" t="s">
        <v>122</v>
      </c>
      <c r="K4" s="10" t="s">
        <v>123</v>
      </c>
      <c r="L4" s="10" t="s">
        <v>124</v>
      </c>
      <c r="M4" s="10" t="s">
        <v>125</v>
      </c>
      <c r="N4" s="11" t="s">
        <v>126</v>
      </c>
    </row>
    <row r="5" spans="1:14" x14ac:dyDescent="0.3">
      <c r="A5" s="31">
        <v>1</v>
      </c>
      <c r="B5" s="32">
        <v>15634602</v>
      </c>
      <c r="C5" s="32" t="s">
        <v>127</v>
      </c>
      <c r="D5" s="32">
        <v>619</v>
      </c>
      <c r="E5" s="32" t="s">
        <v>128</v>
      </c>
      <c r="F5" s="32" t="s">
        <v>129</v>
      </c>
      <c r="G5" s="32">
        <v>42</v>
      </c>
      <c r="H5" s="32">
        <v>2</v>
      </c>
      <c r="I5" s="32">
        <v>0</v>
      </c>
      <c r="J5" s="32">
        <v>1</v>
      </c>
      <c r="K5" s="32">
        <v>1</v>
      </c>
      <c r="L5" s="32">
        <v>1</v>
      </c>
      <c r="M5" s="32">
        <v>101348.88</v>
      </c>
      <c r="N5" s="33">
        <v>1</v>
      </c>
    </row>
    <row r="6" spans="1:14" x14ac:dyDescent="0.3">
      <c r="A6" s="31">
        <v>2</v>
      </c>
      <c r="B6" s="32">
        <v>15647311</v>
      </c>
      <c r="C6" s="32" t="s">
        <v>130</v>
      </c>
      <c r="D6" s="32">
        <v>608</v>
      </c>
      <c r="E6" s="32" t="s">
        <v>131</v>
      </c>
      <c r="F6" s="32" t="s">
        <v>129</v>
      </c>
      <c r="G6" s="32">
        <v>41</v>
      </c>
      <c r="H6" s="32">
        <v>1</v>
      </c>
      <c r="I6" s="32">
        <v>83807.86</v>
      </c>
      <c r="J6" s="32">
        <v>1</v>
      </c>
      <c r="K6" s="32">
        <v>0</v>
      </c>
      <c r="L6" s="32">
        <v>1</v>
      </c>
      <c r="M6" s="32">
        <v>112542.58</v>
      </c>
      <c r="N6" s="33">
        <v>0</v>
      </c>
    </row>
    <row r="7" spans="1:14" x14ac:dyDescent="0.3">
      <c r="A7" s="31">
        <v>3</v>
      </c>
      <c r="B7" s="32">
        <v>15619304</v>
      </c>
      <c r="C7" s="32" t="s">
        <v>132</v>
      </c>
      <c r="D7" s="32">
        <v>502</v>
      </c>
      <c r="E7" s="32" t="s">
        <v>128</v>
      </c>
      <c r="F7" s="32" t="s">
        <v>129</v>
      </c>
      <c r="G7" s="32">
        <v>42</v>
      </c>
      <c r="H7" s="32">
        <v>8</v>
      </c>
      <c r="I7" s="32">
        <v>159660.79999999999</v>
      </c>
      <c r="J7" s="32">
        <v>3</v>
      </c>
      <c r="K7" s="32">
        <v>1</v>
      </c>
      <c r="L7" s="32">
        <v>0</v>
      </c>
      <c r="M7" s="32">
        <v>113931.57</v>
      </c>
      <c r="N7" s="33">
        <v>1</v>
      </c>
    </row>
    <row r="8" spans="1:14" x14ac:dyDescent="0.3">
      <c r="A8" s="31">
        <v>4</v>
      </c>
      <c r="B8" s="32">
        <v>15701354</v>
      </c>
      <c r="C8" s="32" t="s">
        <v>133</v>
      </c>
      <c r="D8" s="32">
        <v>699</v>
      </c>
      <c r="E8" s="32" t="s">
        <v>128</v>
      </c>
      <c r="F8" s="32" t="s">
        <v>129</v>
      </c>
      <c r="G8" s="32">
        <v>39</v>
      </c>
      <c r="H8" s="32">
        <v>1</v>
      </c>
      <c r="I8" s="32">
        <v>0</v>
      </c>
      <c r="J8" s="32">
        <v>2</v>
      </c>
      <c r="K8" s="32">
        <v>0</v>
      </c>
      <c r="L8" s="32">
        <v>0</v>
      </c>
      <c r="M8" s="32">
        <v>93826.63</v>
      </c>
      <c r="N8" s="33">
        <v>0</v>
      </c>
    </row>
    <row r="9" spans="1:14" x14ac:dyDescent="0.3">
      <c r="A9" s="31">
        <v>5</v>
      </c>
      <c r="B9" s="32">
        <v>15737888</v>
      </c>
      <c r="C9" s="32" t="s">
        <v>134</v>
      </c>
      <c r="D9" s="32">
        <v>850</v>
      </c>
      <c r="E9" s="32" t="s">
        <v>131</v>
      </c>
      <c r="F9" s="32" t="s">
        <v>129</v>
      </c>
      <c r="G9" s="32">
        <v>43</v>
      </c>
      <c r="H9" s="32">
        <v>2</v>
      </c>
      <c r="I9" s="32">
        <v>125510.82</v>
      </c>
      <c r="J9" s="32">
        <v>1</v>
      </c>
      <c r="K9" s="32">
        <v>1</v>
      </c>
      <c r="L9" s="32">
        <v>1</v>
      </c>
      <c r="M9" s="32">
        <v>79084.100000000006</v>
      </c>
      <c r="N9" s="33">
        <v>0</v>
      </c>
    </row>
    <row r="10" spans="1:14" x14ac:dyDescent="0.3">
      <c r="A10" s="31">
        <v>6</v>
      </c>
      <c r="B10" s="32">
        <v>15574012</v>
      </c>
      <c r="C10" s="32" t="s">
        <v>135</v>
      </c>
      <c r="D10" s="32">
        <v>645</v>
      </c>
      <c r="E10" s="32" t="s">
        <v>131</v>
      </c>
      <c r="F10" s="32" t="s">
        <v>136</v>
      </c>
      <c r="G10" s="32">
        <v>44</v>
      </c>
      <c r="H10" s="32">
        <v>8</v>
      </c>
      <c r="I10" s="32">
        <v>113755.78</v>
      </c>
      <c r="J10" s="32">
        <v>2</v>
      </c>
      <c r="K10" s="32">
        <v>1</v>
      </c>
      <c r="L10" s="32">
        <v>0</v>
      </c>
      <c r="M10" s="32">
        <v>149756.71</v>
      </c>
      <c r="N10" s="33">
        <v>1</v>
      </c>
    </row>
    <row r="11" spans="1:14" x14ac:dyDescent="0.3">
      <c r="A11" s="31">
        <v>7</v>
      </c>
      <c r="B11" s="32">
        <v>15592531</v>
      </c>
      <c r="C11" s="32" t="s">
        <v>137</v>
      </c>
      <c r="D11" s="32">
        <v>822</v>
      </c>
      <c r="E11" s="32" t="s">
        <v>128</v>
      </c>
      <c r="F11" s="32" t="s">
        <v>136</v>
      </c>
      <c r="G11" s="32">
        <v>50</v>
      </c>
      <c r="H11" s="32">
        <v>7</v>
      </c>
      <c r="I11" s="32">
        <v>0</v>
      </c>
      <c r="J11" s="32">
        <v>2</v>
      </c>
      <c r="K11" s="32">
        <v>1</v>
      </c>
      <c r="L11" s="32">
        <v>1</v>
      </c>
      <c r="M11" s="32">
        <v>10062.799999999999</v>
      </c>
      <c r="N11" s="33">
        <v>0</v>
      </c>
    </row>
    <row r="12" spans="1:14" x14ac:dyDescent="0.3">
      <c r="A12" s="31">
        <v>8</v>
      </c>
      <c r="B12" s="32">
        <v>15656148</v>
      </c>
      <c r="C12" s="32" t="s">
        <v>138</v>
      </c>
      <c r="D12" s="32">
        <v>376</v>
      </c>
      <c r="E12" s="32" t="s">
        <v>139</v>
      </c>
      <c r="F12" s="32" t="s">
        <v>129</v>
      </c>
      <c r="G12" s="32">
        <v>29</v>
      </c>
      <c r="H12" s="32">
        <v>4</v>
      </c>
      <c r="I12" s="32">
        <v>115046.74</v>
      </c>
      <c r="J12" s="32">
        <v>4</v>
      </c>
      <c r="K12" s="32">
        <v>1</v>
      </c>
      <c r="L12" s="32">
        <v>0</v>
      </c>
      <c r="M12" s="32">
        <v>119346.88</v>
      </c>
      <c r="N12" s="33">
        <v>1</v>
      </c>
    </row>
    <row r="13" spans="1:14" x14ac:dyDescent="0.3">
      <c r="A13" s="31">
        <v>9</v>
      </c>
      <c r="B13" s="32">
        <v>15792365</v>
      </c>
      <c r="C13" s="32" t="s">
        <v>140</v>
      </c>
      <c r="D13" s="32">
        <v>501</v>
      </c>
      <c r="E13" s="32" t="s">
        <v>128</v>
      </c>
      <c r="F13" s="32" t="s">
        <v>136</v>
      </c>
      <c r="G13" s="32">
        <v>44</v>
      </c>
      <c r="H13" s="32">
        <v>4</v>
      </c>
      <c r="I13" s="32">
        <v>142051.07</v>
      </c>
      <c r="J13" s="32">
        <v>2</v>
      </c>
      <c r="K13" s="32">
        <v>0</v>
      </c>
      <c r="L13" s="32">
        <v>1</v>
      </c>
      <c r="M13" s="32">
        <v>74940.5</v>
      </c>
      <c r="N13" s="33">
        <v>0</v>
      </c>
    </row>
    <row r="14" spans="1:14" x14ac:dyDescent="0.3">
      <c r="A14" s="31">
        <v>10</v>
      </c>
      <c r="B14" s="32">
        <v>15592389</v>
      </c>
      <c r="C14" s="32" t="s">
        <v>141</v>
      </c>
      <c r="D14" s="32">
        <v>684</v>
      </c>
      <c r="E14" s="32" t="s">
        <v>128</v>
      </c>
      <c r="F14" s="32" t="s">
        <v>136</v>
      </c>
      <c r="G14" s="32">
        <v>27</v>
      </c>
      <c r="H14" s="32">
        <v>2</v>
      </c>
      <c r="I14" s="32">
        <v>134603.88</v>
      </c>
      <c r="J14" s="32">
        <v>1</v>
      </c>
      <c r="K14" s="32">
        <v>1</v>
      </c>
      <c r="L14" s="32">
        <v>1</v>
      </c>
      <c r="M14" s="32">
        <v>71725.73</v>
      </c>
      <c r="N14" s="33">
        <v>0</v>
      </c>
    </row>
    <row r="15" spans="1:14" x14ac:dyDescent="0.3">
      <c r="A15" s="31">
        <v>11</v>
      </c>
      <c r="B15" s="32">
        <v>15767821</v>
      </c>
      <c r="C15" s="32" t="s">
        <v>142</v>
      </c>
      <c r="D15" s="32">
        <v>528</v>
      </c>
      <c r="E15" s="32" t="s">
        <v>128</v>
      </c>
      <c r="F15" s="32" t="s">
        <v>136</v>
      </c>
      <c r="G15" s="32">
        <v>31</v>
      </c>
      <c r="H15" s="32">
        <v>6</v>
      </c>
      <c r="I15" s="32">
        <v>102016.72</v>
      </c>
      <c r="J15" s="32">
        <v>2</v>
      </c>
      <c r="K15" s="32">
        <v>0</v>
      </c>
      <c r="L15" s="32">
        <v>0</v>
      </c>
      <c r="M15" s="32">
        <v>80181.119999999995</v>
      </c>
      <c r="N15" s="33">
        <v>0</v>
      </c>
    </row>
    <row r="16" spans="1:14" x14ac:dyDescent="0.3">
      <c r="A16" s="31">
        <v>12</v>
      </c>
      <c r="B16" s="32">
        <v>15737173</v>
      </c>
      <c r="C16" s="32" t="s">
        <v>143</v>
      </c>
      <c r="D16" s="32">
        <v>497</v>
      </c>
      <c r="E16" s="32" t="s">
        <v>131</v>
      </c>
      <c r="F16" s="32" t="s">
        <v>136</v>
      </c>
      <c r="G16" s="32">
        <v>24</v>
      </c>
      <c r="H16" s="32">
        <v>3</v>
      </c>
      <c r="I16" s="32">
        <v>0</v>
      </c>
      <c r="J16" s="32">
        <v>2</v>
      </c>
      <c r="K16" s="32">
        <v>1</v>
      </c>
      <c r="L16" s="32">
        <v>0</v>
      </c>
      <c r="M16" s="32">
        <v>76390.009999999995</v>
      </c>
      <c r="N16" s="33">
        <v>0</v>
      </c>
    </row>
    <row r="17" spans="1:14" x14ac:dyDescent="0.3">
      <c r="A17" s="31">
        <v>13</v>
      </c>
      <c r="B17" s="32">
        <v>15632264</v>
      </c>
      <c r="C17" s="32" t="s">
        <v>144</v>
      </c>
      <c r="D17" s="32">
        <v>476</v>
      </c>
      <c r="E17" s="32" t="s">
        <v>128</v>
      </c>
      <c r="F17" s="32" t="s">
        <v>129</v>
      </c>
      <c r="G17" s="32">
        <v>34</v>
      </c>
      <c r="H17" s="32">
        <v>10</v>
      </c>
      <c r="I17" s="32">
        <v>0</v>
      </c>
      <c r="J17" s="32">
        <v>2</v>
      </c>
      <c r="K17" s="32">
        <v>1</v>
      </c>
      <c r="L17" s="32">
        <v>0</v>
      </c>
      <c r="M17" s="32">
        <v>26260.98</v>
      </c>
      <c r="N17" s="33">
        <v>0</v>
      </c>
    </row>
    <row r="18" spans="1:14" x14ac:dyDescent="0.3">
      <c r="A18" s="31">
        <v>14</v>
      </c>
      <c r="B18" s="32">
        <v>15691483</v>
      </c>
      <c r="C18" s="32" t="s">
        <v>145</v>
      </c>
      <c r="D18" s="32">
        <v>549</v>
      </c>
      <c r="E18" s="32" t="s">
        <v>128</v>
      </c>
      <c r="F18" s="32" t="s">
        <v>129</v>
      </c>
      <c r="G18" s="32">
        <v>25</v>
      </c>
      <c r="H18" s="32">
        <v>5</v>
      </c>
      <c r="I18" s="32">
        <v>0</v>
      </c>
      <c r="J18" s="32">
        <v>2</v>
      </c>
      <c r="K18" s="32">
        <v>0</v>
      </c>
      <c r="L18" s="32">
        <v>0</v>
      </c>
      <c r="M18" s="32">
        <v>190857.79</v>
      </c>
      <c r="N18" s="33">
        <v>0</v>
      </c>
    </row>
    <row r="19" spans="1:14" x14ac:dyDescent="0.3">
      <c r="A19" s="31">
        <v>15</v>
      </c>
      <c r="B19" s="32">
        <v>15600882</v>
      </c>
      <c r="C19" s="32" t="s">
        <v>146</v>
      </c>
      <c r="D19" s="32">
        <v>635</v>
      </c>
      <c r="E19" s="32" t="s">
        <v>131</v>
      </c>
      <c r="F19" s="32" t="s">
        <v>129</v>
      </c>
      <c r="G19" s="32">
        <v>35</v>
      </c>
      <c r="H19" s="32">
        <v>7</v>
      </c>
      <c r="I19" s="32">
        <v>0</v>
      </c>
      <c r="J19" s="32">
        <v>2</v>
      </c>
      <c r="K19" s="32">
        <v>1</v>
      </c>
      <c r="L19" s="32">
        <v>1</v>
      </c>
      <c r="M19" s="32">
        <v>65951.649999999994</v>
      </c>
      <c r="N19" s="33">
        <v>0</v>
      </c>
    </row>
    <row r="20" spans="1:14" x14ac:dyDescent="0.3">
      <c r="A20" s="31">
        <v>16</v>
      </c>
      <c r="B20" s="32">
        <v>15643966</v>
      </c>
      <c r="C20" s="32" t="s">
        <v>147</v>
      </c>
      <c r="D20" s="32">
        <v>616</v>
      </c>
      <c r="E20" s="32" t="s">
        <v>139</v>
      </c>
      <c r="F20" s="32" t="s">
        <v>136</v>
      </c>
      <c r="G20" s="32">
        <v>45</v>
      </c>
      <c r="H20" s="32">
        <v>3</v>
      </c>
      <c r="I20" s="32">
        <v>143129.41</v>
      </c>
      <c r="J20" s="32">
        <v>2</v>
      </c>
      <c r="K20" s="32">
        <v>0</v>
      </c>
      <c r="L20" s="32">
        <v>1</v>
      </c>
      <c r="M20" s="32">
        <v>64327.26</v>
      </c>
      <c r="N20" s="33">
        <v>0</v>
      </c>
    </row>
    <row r="21" spans="1:14" x14ac:dyDescent="0.3">
      <c r="A21" s="31">
        <v>17</v>
      </c>
      <c r="B21" s="32">
        <v>15737452</v>
      </c>
      <c r="C21" s="32" t="s">
        <v>148</v>
      </c>
      <c r="D21" s="32">
        <v>653</v>
      </c>
      <c r="E21" s="32" t="s">
        <v>139</v>
      </c>
      <c r="F21" s="32" t="s">
        <v>136</v>
      </c>
      <c r="G21" s="32">
        <v>58</v>
      </c>
      <c r="H21" s="32">
        <v>1</v>
      </c>
      <c r="I21" s="32">
        <v>132602.88</v>
      </c>
      <c r="J21" s="32">
        <v>1</v>
      </c>
      <c r="K21" s="32">
        <v>1</v>
      </c>
      <c r="L21" s="32">
        <v>0</v>
      </c>
      <c r="M21" s="32">
        <v>5097.67</v>
      </c>
      <c r="N21" s="33">
        <v>1</v>
      </c>
    </row>
    <row r="22" spans="1:14" x14ac:dyDescent="0.3">
      <c r="A22" s="31">
        <v>18</v>
      </c>
      <c r="B22" s="32">
        <v>15788218</v>
      </c>
      <c r="C22" s="32" t="s">
        <v>149</v>
      </c>
      <c r="D22" s="32">
        <v>549</v>
      </c>
      <c r="E22" s="32" t="s">
        <v>131</v>
      </c>
      <c r="F22" s="32" t="s">
        <v>129</v>
      </c>
      <c r="G22" s="32">
        <v>24</v>
      </c>
      <c r="H22" s="32">
        <v>9</v>
      </c>
      <c r="I22" s="32">
        <v>0</v>
      </c>
      <c r="J22" s="32">
        <v>2</v>
      </c>
      <c r="K22" s="32">
        <v>1</v>
      </c>
      <c r="L22" s="32">
        <v>1</v>
      </c>
      <c r="M22" s="32">
        <v>14406.41</v>
      </c>
      <c r="N22" s="33">
        <v>0</v>
      </c>
    </row>
    <row r="23" spans="1:14" x14ac:dyDescent="0.3">
      <c r="A23" s="31">
        <v>19</v>
      </c>
      <c r="B23" s="32">
        <v>15661507</v>
      </c>
      <c r="C23" s="32" t="s">
        <v>150</v>
      </c>
      <c r="D23" s="32">
        <v>587</v>
      </c>
      <c r="E23" s="32" t="s">
        <v>131</v>
      </c>
      <c r="F23" s="32" t="s">
        <v>136</v>
      </c>
      <c r="G23" s="32">
        <v>45</v>
      </c>
      <c r="H23" s="32">
        <v>6</v>
      </c>
      <c r="I23" s="32">
        <v>0</v>
      </c>
      <c r="J23" s="32">
        <v>1</v>
      </c>
      <c r="K23" s="32">
        <v>0</v>
      </c>
      <c r="L23" s="32">
        <v>0</v>
      </c>
      <c r="M23" s="32">
        <v>158684.81</v>
      </c>
      <c r="N23" s="33">
        <v>0</v>
      </c>
    </row>
    <row r="24" spans="1:14" x14ac:dyDescent="0.3">
      <c r="A24" s="31">
        <v>20</v>
      </c>
      <c r="B24" s="32">
        <v>15568982</v>
      </c>
      <c r="C24" s="32" t="s">
        <v>151</v>
      </c>
      <c r="D24" s="32">
        <v>726</v>
      </c>
      <c r="E24" s="32" t="s">
        <v>128</v>
      </c>
      <c r="F24" s="32" t="s">
        <v>129</v>
      </c>
      <c r="G24" s="32">
        <v>24</v>
      </c>
      <c r="H24" s="32">
        <v>6</v>
      </c>
      <c r="I24" s="32">
        <v>0</v>
      </c>
      <c r="J24" s="32">
        <v>2</v>
      </c>
      <c r="K24" s="32">
        <v>1</v>
      </c>
      <c r="L24" s="32">
        <v>1</v>
      </c>
      <c r="M24" s="32">
        <v>54724.03</v>
      </c>
      <c r="N24" s="33">
        <v>0</v>
      </c>
    </row>
    <row r="25" spans="1:14" x14ac:dyDescent="0.3">
      <c r="A25" s="31">
        <v>21</v>
      </c>
      <c r="B25" s="32">
        <v>15577657</v>
      </c>
      <c r="C25" s="32" t="s">
        <v>152</v>
      </c>
      <c r="D25" s="32">
        <v>732</v>
      </c>
      <c r="E25" s="32" t="s">
        <v>128</v>
      </c>
      <c r="F25" s="32" t="s">
        <v>136</v>
      </c>
      <c r="G25" s="32">
        <v>41</v>
      </c>
      <c r="H25" s="32">
        <v>8</v>
      </c>
      <c r="I25" s="32">
        <v>0</v>
      </c>
      <c r="J25" s="32">
        <v>2</v>
      </c>
      <c r="K25" s="32">
        <v>1</v>
      </c>
      <c r="L25" s="32">
        <v>1</v>
      </c>
      <c r="M25" s="32">
        <v>170886.17</v>
      </c>
      <c r="N25" s="33">
        <v>0</v>
      </c>
    </row>
    <row r="26" spans="1:14" x14ac:dyDescent="0.3">
      <c r="A26" s="31">
        <v>22</v>
      </c>
      <c r="B26" s="32">
        <v>15597945</v>
      </c>
      <c r="C26" s="32" t="s">
        <v>153</v>
      </c>
      <c r="D26" s="32">
        <v>636</v>
      </c>
      <c r="E26" s="32" t="s">
        <v>131</v>
      </c>
      <c r="F26" s="32" t="s">
        <v>129</v>
      </c>
      <c r="G26" s="32">
        <v>32</v>
      </c>
      <c r="H26" s="32">
        <v>8</v>
      </c>
      <c r="I26" s="32">
        <v>0</v>
      </c>
      <c r="J26" s="32">
        <v>2</v>
      </c>
      <c r="K26" s="32">
        <v>1</v>
      </c>
      <c r="L26" s="32">
        <v>0</v>
      </c>
      <c r="M26" s="32">
        <v>138555.46</v>
      </c>
      <c r="N26" s="33">
        <v>0</v>
      </c>
    </row>
    <row r="27" spans="1:14" x14ac:dyDescent="0.3">
      <c r="A27" s="31">
        <v>23</v>
      </c>
      <c r="B27" s="32">
        <v>15699309</v>
      </c>
      <c r="C27" s="32" t="s">
        <v>154</v>
      </c>
      <c r="D27" s="32">
        <v>510</v>
      </c>
      <c r="E27" s="32" t="s">
        <v>131</v>
      </c>
      <c r="F27" s="32" t="s">
        <v>129</v>
      </c>
      <c r="G27" s="32">
        <v>38</v>
      </c>
      <c r="H27" s="32">
        <v>4</v>
      </c>
      <c r="I27" s="32">
        <v>0</v>
      </c>
      <c r="J27" s="32">
        <v>1</v>
      </c>
      <c r="K27" s="32">
        <v>1</v>
      </c>
      <c r="L27" s="32">
        <v>0</v>
      </c>
      <c r="M27" s="32">
        <v>118913.53</v>
      </c>
      <c r="N27" s="33">
        <v>1</v>
      </c>
    </row>
    <row r="28" spans="1:14" x14ac:dyDescent="0.3">
      <c r="A28" s="31">
        <v>24</v>
      </c>
      <c r="B28" s="32">
        <v>15725737</v>
      </c>
      <c r="C28" s="32" t="s">
        <v>155</v>
      </c>
      <c r="D28" s="32">
        <v>669</v>
      </c>
      <c r="E28" s="32" t="s">
        <v>128</v>
      </c>
      <c r="F28" s="32" t="s">
        <v>136</v>
      </c>
      <c r="G28" s="32">
        <v>46</v>
      </c>
      <c r="H28" s="32">
        <v>3</v>
      </c>
      <c r="I28" s="32">
        <v>0</v>
      </c>
      <c r="J28" s="32">
        <v>2</v>
      </c>
      <c r="K28" s="32">
        <v>0</v>
      </c>
      <c r="L28" s="32">
        <v>1</v>
      </c>
      <c r="M28" s="32">
        <v>8487.75</v>
      </c>
      <c r="N28" s="33">
        <v>0</v>
      </c>
    </row>
    <row r="29" spans="1:14" x14ac:dyDescent="0.3">
      <c r="A29" s="31">
        <v>25</v>
      </c>
      <c r="B29" s="32">
        <v>15625047</v>
      </c>
      <c r="C29" s="32" t="s">
        <v>156</v>
      </c>
      <c r="D29" s="32">
        <v>846</v>
      </c>
      <c r="E29" s="32" t="s">
        <v>128</v>
      </c>
      <c r="F29" s="32" t="s">
        <v>129</v>
      </c>
      <c r="G29" s="32">
        <v>38</v>
      </c>
      <c r="H29" s="32">
        <v>5</v>
      </c>
      <c r="I29" s="32">
        <v>0</v>
      </c>
      <c r="J29" s="32">
        <v>1</v>
      </c>
      <c r="K29" s="32">
        <v>1</v>
      </c>
      <c r="L29" s="32">
        <v>1</v>
      </c>
      <c r="M29" s="32">
        <v>187616.16</v>
      </c>
      <c r="N29" s="33">
        <v>0</v>
      </c>
    </row>
    <row r="30" spans="1:14" x14ac:dyDescent="0.3">
      <c r="A30" s="31">
        <v>26</v>
      </c>
      <c r="B30" s="32">
        <v>15738191</v>
      </c>
      <c r="C30" s="32" t="s">
        <v>157</v>
      </c>
      <c r="D30" s="32">
        <v>577</v>
      </c>
      <c r="E30" s="32" t="s">
        <v>128</v>
      </c>
      <c r="F30" s="32" t="s">
        <v>136</v>
      </c>
      <c r="G30" s="32">
        <v>25</v>
      </c>
      <c r="H30" s="32">
        <v>3</v>
      </c>
      <c r="I30" s="32">
        <v>0</v>
      </c>
      <c r="J30" s="32">
        <v>2</v>
      </c>
      <c r="K30" s="32">
        <v>0</v>
      </c>
      <c r="L30" s="32">
        <v>1</v>
      </c>
      <c r="M30" s="32">
        <v>124508.29</v>
      </c>
      <c r="N30" s="33">
        <v>0</v>
      </c>
    </row>
    <row r="31" spans="1:14" x14ac:dyDescent="0.3">
      <c r="A31" s="31">
        <v>27</v>
      </c>
      <c r="B31" s="32">
        <v>15736816</v>
      </c>
      <c r="C31" s="32" t="s">
        <v>158</v>
      </c>
      <c r="D31" s="32">
        <v>756</v>
      </c>
      <c r="E31" s="32" t="s">
        <v>139</v>
      </c>
      <c r="F31" s="32" t="s">
        <v>136</v>
      </c>
      <c r="G31" s="32">
        <v>36</v>
      </c>
      <c r="H31" s="32">
        <v>2</v>
      </c>
      <c r="I31" s="32">
        <v>136815.64000000001</v>
      </c>
      <c r="J31" s="32">
        <v>1</v>
      </c>
      <c r="K31" s="32">
        <v>1</v>
      </c>
      <c r="L31" s="32">
        <v>1</v>
      </c>
      <c r="M31" s="32">
        <v>170041.95</v>
      </c>
      <c r="N31" s="33">
        <v>0</v>
      </c>
    </row>
    <row r="32" spans="1:14" x14ac:dyDescent="0.3">
      <c r="A32" s="31">
        <v>28</v>
      </c>
      <c r="B32" s="32">
        <v>15700772</v>
      </c>
      <c r="C32" s="32" t="s">
        <v>159</v>
      </c>
      <c r="D32" s="32">
        <v>571</v>
      </c>
      <c r="E32" s="32" t="s">
        <v>128</v>
      </c>
      <c r="F32" s="32" t="s">
        <v>136</v>
      </c>
      <c r="G32" s="32">
        <v>44</v>
      </c>
      <c r="H32" s="32">
        <v>9</v>
      </c>
      <c r="I32" s="32">
        <v>0</v>
      </c>
      <c r="J32" s="32">
        <v>2</v>
      </c>
      <c r="K32" s="32">
        <v>0</v>
      </c>
      <c r="L32" s="32">
        <v>0</v>
      </c>
      <c r="M32" s="32">
        <v>38433.35</v>
      </c>
      <c r="N32" s="33">
        <v>0</v>
      </c>
    </row>
    <row r="33" spans="1:14" x14ac:dyDescent="0.3">
      <c r="A33" s="31">
        <v>29</v>
      </c>
      <c r="B33" s="32">
        <v>15728693</v>
      </c>
      <c r="C33" s="32" t="s">
        <v>160</v>
      </c>
      <c r="D33" s="32">
        <v>574</v>
      </c>
      <c r="E33" s="32" t="s">
        <v>139</v>
      </c>
      <c r="F33" s="32" t="s">
        <v>129</v>
      </c>
      <c r="G33" s="32">
        <v>43</v>
      </c>
      <c r="H33" s="32">
        <v>3</v>
      </c>
      <c r="I33" s="32">
        <v>141349.43</v>
      </c>
      <c r="J33" s="32">
        <v>1</v>
      </c>
      <c r="K33" s="32">
        <v>1</v>
      </c>
      <c r="L33" s="32">
        <v>1</v>
      </c>
      <c r="M33" s="32">
        <v>100187.43</v>
      </c>
      <c r="N33" s="33">
        <v>0</v>
      </c>
    </row>
    <row r="34" spans="1:14" x14ac:dyDescent="0.3">
      <c r="A34" s="29">
        <v>30</v>
      </c>
      <c r="B34" s="34">
        <v>15656300</v>
      </c>
      <c r="C34" s="34" t="s">
        <v>161</v>
      </c>
      <c r="D34" s="34">
        <v>411</v>
      </c>
      <c r="E34" s="34" t="s">
        <v>128</v>
      </c>
      <c r="F34" s="34" t="s">
        <v>136</v>
      </c>
      <c r="G34" s="34">
        <v>29</v>
      </c>
      <c r="H34" s="34">
        <v>0</v>
      </c>
      <c r="I34" s="34">
        <v>59697.17</v>
      </c>
      <c r="J34" s="34">
        <v>2</v>
      </c>
      <c r="K34" s="34">
        <v>1</v>
      </c>
      <c r="L34" s="34">
        <v>1</v>
      </c>
      <c r="M34" s="34">
        <v>53483.21</v>
      </c>
      <c r="N34" s="28">
        <v>0</v>
      </c>
    </row>
    <row r="36" spans="1:14" x14ac:dyDescent="0.3">
      <c r="B36" s="35" t="s">
        <v>162</v>
      </c>
      <c r="C36" s="36">
        <f>COUNT(A:A)</f>
        <v>30</v>
      </c>
      <c r="D36" s="4" t="s">
        <v>168</v>
      </c>
      <c r="I36">
        <f>COUNTIFS(E:E, "Germany",F:F,"Female", M:M, "&gt;=100000")</f>
        <v>2</v>
      </c>
    </row>
    <row r="37" spans="1:14" x14ac:dyDescent="0.3">
      <c r="B37" s="35" t="s">
        <v>163</v>
      </c>
      <c r="C37" s="36">
        <f>COUNTA(A:A)</f>
        <v>31</v>
      </c>
      <c r="D37" s="4" t="s">
        <v>167</v>
      </c>
      <c r="I37">
        <f>COUNTIFS(F:F, "Male", N:N, 1)</f>
        <v>2</v>
      </c>
    </row>
    <row r="38" spans="1:14" x14ac:dyDescent="0.3">
      <c r="B38" s="35" t="s">
        <v>164</v>
      </c>
      <c r="C38" s="36">
        <f>COUNTBLANK(A1:A38)</f>
        <v>7</v>
      </c>
      <c r="D38" s="4" t="s">
        <v>169</v>
      </c>
      <c r="I38">
        <f>COUNTIFS(G:G,"&gt;=40", K:K, 1, M:M, "&gt;=100000", N:N, 1)</f>
        <v>3</v>
      </c>
    </row>
    <row r="39" spans="1:14" x14ac:dyDescent="0.3">
      <c r="B39" s="35" t="s">
        <v>165</v>
      </c>
      <c r="C39" s="36">
        <f>COUNTIF(E:E,"Spain")</f>
        <v>9</v>
      </c>
    </row>
    <row r="40" spans="1:14" x14ac:dyDescent="0.3">
      <c r="B40" s="35" t="s">
        <v>166</v>
      </c>
      <c r="C40" s="36">
        <f>COUNTIFS(E:E,"France",F:F,"Female")</f>
        <v>7</v>
      </c>
    </row>
    <row r="41" spans="1:14" x14ac:dyDescent="0.3">
      <c r="B41" s="35" t="s">
        <v>170</v>
      </c>
      <c r="C41" s="36">
        <f>GEOMEAN(M:M)</f>
        <v>69077.042441037076</v>
      </c>
    </row>
    <row r="42" spans="1:14" x14ac:dyDescent="0.3">
      <c r="B42" s="35" t="s">
        <v>171</v>
      </c>
      <c r="C42" s="36">
        <f>MEDIAN(G:G)</f>
        <v>38.5</v>
      </c>
    </row>
    <row r="43" spans="1:14" x14ac:dyDescent="0.3">
      <c r="B43" s="35" t="s">
        <v>172</v>
      </c>
      <c r="C43" s="36">
        <f>MODE(I:I)</f>
        <v>0</v>
      </c>
    </row>
    <row r="44" spans="1:14" x14ac:dyDescent="0.3">
      <c r="B44" s="35" t="s">
        <v>173</v>
      </c>
      <c r="C44" s="36">
        <f>_xlfn.STDEV.P(I:I)</f>
        <v>62003.328544160577</v>
      </c>
    </row>
    <row r="45" spans="1:14" x14ac:dyDescent="0.3">
      <c r="B45" s="35" t="s">
        <v>174</v>
      </c>
      <c r="C45" s="36">
        <f>_xlfn.VAR.P(I:I)</f>
        <v>3844412750.5551181</v>
      </c>
    </row>
    <row r="46" spans="1:14" x14ac:dyDescent="0.3">
      <c r="B46" s="35" t="s">
        <v>173</v>
      </c>
      <c r="C46" s="36">
        <f>_xlfn.STDEV.S(I:I)</f>
        <v>62964.677788502704</v>
      </c>
    </row>
    <row r="47" spans="1:14" x14ac:dyDescent="0.3">
      <c r="B47" s="35" t="s">
        <v>173</v>
      </c>
      <c r="C47" s="36"/>
    </row>
    <row r="48" spans="1:14" x14ac:dyDescent="0.3">
      <c r="B48" s="35" t="s">
        <v>174</v>
      </c>
      <c r="C48" s="36">
        <f>_xlfn.VAR.S(N:N)</f>
        <v>0.16551724137931034</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34C3A-5AFD-4114-9803-DE1187D88ABC}">
  <dimension ref="B1:D8"/>
  <sheetViews>
    <sheetView workbookViewId="0">
      <selection activeCell="C7" sqref="C7"/>
    </sheetView>
  </sheetViews>
  <sheetFormatPr defaultRowHeight="14.4" x14ac:dyDescent="0.3"/>
  <cols>
    <col min="2" max="2" width="20.44140625" customWidth="1"/>
    <col min="3" max="3" width="25.5546875" customWidth="1"/>
    <col min="4" max="4" width="19.5546875" customWidth="1"/>
  </cols>
  <sheetData>
    <row r="1" spans="2:4" ht="25.8" x14ac:dyDescent="0.3">
      <c r="B1" s="68" t="s">
        <v>175</v>
      </c>
      <c r="C1" s="69"/>
      <c r="D1" s="69"/>
    </row>
    <row r="3" spans="2:4" ht="23.4" x14ac:dyDescent="0.3">
      <c r="B3" s="38" t="s">
        <v>176</v>
      </c>
      <c r="C3" s="38" t="s">
        <v>177</v>
      </c>
      <c r="D3" s="38" t="s">
        <v>178</v>
      </c>
    </row>
    <row r="4" spans="2:4" ht="85.2" customHeight="1" x14ac:dyDescent="0.3">
      <c r="B4" s="37" t="s">
        <v>179</v>
      </c>
      <c r="C4" s="32"/>
      <c r="D4" s="37">
        <v>14000000</v>
      </c>
    </row>
    <row r="5" spans="2:4" ht="82.2" customHeight="1" x14ac:dyDescent="0.3">
      <c r="B5" s="37" t="s">
        <v>181</v>
      </c>
      <c r="C5" s="32"/>
      <c r="D5" s="37">
        <v>40000000</v>
      </c>
    </row>
    <row r="6" spans="2:4" ht="71.400000000000006" customHeight="1" x14ac:dyDescent="0.3">
      <c r="B6" s="37" t="s">
        <v>182</v>
      </c>
      <c r="C6" s="32"/>
      <c r="D6" s="37">
        <v>100000000</v>
      </c>
    </row>
    <row r="7" spans="2:4" ht="84" customHeight="1" x14ac:dyDescent="0.3">
      <c r="B7" s="37" t="s">
        <v>69</v>
      </c>
      <c r="C7" s="32"/>
      <c r="D7" s="37">
        <v>60000000</v>
      </c>
    </row>
    <row r="8" spans="2:4" ht="79.8" customHeight="1" x14ac:dyDescent="0.3">
      <c r="B8" s="37" t="s">
        <v>180</v>
      </c>
      <c r="C8" s="39"/>
      <c r="D8" s="37">
        <v>20000000</v>
      </c>
    </row>
  </sheetData>
  <autoFilter ref="B3:D8" xr:uid="{26234C3A-5AFD-4114-9803-DE1187D88ABC}">
    <sortState xmlns:xlrd2="http://schemas.microsoft.com/office/spreadsheetml/2017/richdata2" ref="B4:D8">
      <sortCondition descending="1" ref="B3:B8"/>
    </sortState>
  </autoFilter>
  <mergeCells count="1">
    <mergeCell ref="B1:D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3E07C-184C-4EEE-9814-79159C09A845}">
  <dimension ref="A1:N25"/>
  <sheetViews>
    <sheetView topLeftCell="A26" workbookViewId="0">
      <selection activeCell="A26" sqref="A26"/>
    </sheetView>
  </sheetViews>
  <sheetFormatPr defaultRowHeight="14.4" x14ac:dyDescent="0.3"/>
  <cols>
    <col min="1" max="1" width="14.44140625" bestFit="1" customWidth="1"/>
    <col min="2" max="2" width="13.33203125" bestFit="1" customWidth="1"/>
    <col min="3" max="3" width="10.44140625" bestFit="1" customWidth="1"/>
    <col min="4" max="4" width="13.21875" customWidth="1"/>
    <col min="5" max="5" width="12.5546875" bestFit="1" customWidth="1"/>
    <col min="6" max="6" width="8.88671875" bestFit="1" customWidth="1"/>
    <col min="7" max="7" width="5.109375" bestFit="1" customWidth="1"/>
    <col min="8" max="8" width="8.44140625" bestFit="1" customWidth="1"/>
    <col min="9" max="9" width="11" bestFit="1" customWidth="1"/>
    <col min="10" max="10" width="18.109375" bestFit="1" customWidth="1"/>
    <col min="11" max="11" width="11.88671875" bestFit="1" customWidth="1"/>
    <col min="12" max="12" width="18.88671875" bestFit="1" customWidth="1"/>
    <col min="13" max="13" width="18.33203125" bestFit="1" customWidth="1"/>
    <col min="14" max="14" width="7.6640625" bestFit="1" customWidth="1"/>
  </cols>
  <sheetData>
    <row r="1" spans="1:14" ht="25.8" x14ac:dyDescent="0.5">
      <c r="D1" s="40" t="s">
        <v>183</v>
      </c>
    </row>
    <row r="3" spans="1:14" ht="18" x14ac:dyDescent="0.35">
      <c r="A3" s="41" t="s">
        <v>115</v>
      </c>
      <c r="B3" s="41" t="s">
        <v>116</v>
      </c>
      <c r="C3" s="41" t="s">
        <v>117</v>
      </c>
      <c r="D3" s="41" t="s">
        <v>118</v>
      </c>
      <c r="E3" s="41" t="s">
        <v>119</v>
      </c>
      <c r="F3" s="41" t="s">
        <v>94</v>
      </c>
      <c r="G3" s="41" t="s">
        <v>88</v>
      </c>
      <c r="H3" s="41" t="s">
        <v>120</v>
      </c>
      <c r="I3" s="41" t="s">
        <v>121</v>
      </c>
      <c r="J3" s="41" t="s">
        <v>122</v>
      </c>
      <c r="K3" s="41" t="s">
        <v>123</v>
      </c>
      <c r="L3" s="41" t="s">
        <v>124</v>
      </c>
      <c r="M3" s="41" t="s">
        <v>125</v>
      </c>
      <c r="N3" s="41" t="s">
        <v>126</v>
      </c>
    </row>
    <row r="4" spans="1:14" x14ac:dyDescent="0.3">
      <c r="A4" s="42">
        <v>1</v>
      </c>
      <c r="B4" s="42">
        <v>15634602</v>
      </c>
      <c r="C4" s="42" t="s">
        <v>127</v>
      </c>
      <c r="D4" s="42">
        <v>619</v>
      </c>
      <c r="E4" s="42" t="s">
        <v>128</v>
      </c>
      <c r="F4" s="42" t="s">
        <v>129</v>
      </c>
      <c r="G4" s="42">
        <v>42</v>
      </c>
      <c r="H4" s="42">
        <v>2</v>
      </c>
      <c r="I4" s="43">
        <v>0</v>
      </c>
      <c r="J4" s="42">
        <v>1</v>
      </c>
      <c r="K4" s="42">
        <v>1</v>
      </c>
      <c r="L4" s="42">
        <v>1</v>
      </c>
      <c r="M4" s="43">
        <v>101348.88</v>
      </c>
      <c r="N4" s="44">
        <v>1</v>
      </c>
    </row>
    <row r="5" spans="1:14" x14ac:dyDescent="0.3">
      <c r="A5" s="42">
        <v>2</v>
      </c>
      <c r="B5" s="42">
        <v>15647311</v>
      </c>
      <c r="C5" s="42" t="s">
        <v>130</v>
      </c>
      <c r="D5" s="42">
        <v>608</v>
      </c>
      <c r="E5" s="42" t="s">
        <v>131</v>
      </c>
      <c r="F5" s="42" t="s">
        <v>129</v>
      </c>
      <c r="G5" s="42">
        <v>41</v>
      </c>
      <c r="H5" s="42">
        <v>1</v>
      </c>
      <c r="I5" s="43">
        <v>83807.86</v>
      </c>
      <c r="J5" s="42">
        <v>1</v>
      </c>
      <c r="K5" s="42">
        <v>0</v>
      </c>
      <c r="L5" s="42">
        <v>1</v>
      </c>
      <c r="M5" s="43">
        <v>112542.58</v>
      </c>
      <c r="N5" s="44">
        <v>0</v>
      </c>
    </row>
    <row r="6" spans="1:14" x14ac:dyDescent="0.3">
      <c r="A6" s="42">
        <v>3</v>
      </c>
      <c r="B6" s="42">
        <v>15619304</v>
      </c>
      <c r="C6" s="42" t="s">
        <v>132</v>
      </c>
      <c r="D6" s="42">
        <v>502</v>
      </c>
      <c r="E6" s="42" t="s">
        <v>128</v>
      </c>
      <c r="F6" s="42" t="s">
        <v>129</v>
      </c>
      <c r="G6" s="42">
        <v>42</v>
      </c>
      <c r="H6" s="42">
        <v>8</v>
      </c>
      <c r="I6" s="43">
        <v>159660.79999999999</v>
      </c>
      <c r="J6" s="42">
        <v>3</v>
      </c>
      <c r="K6" s="42">
        <v>1</v>
      </c>
      <c r="L6" s="42">
        <v>0</v>
      </c>
      <c r="M6" s="43">
        <v>113931.57</v>
      </c>
      <c r="N6" s="44">
        <v>1</v>
      </c>
    </row>
    <row r="7" spans="1:14" x14ac:dyDescent="0.3">
      <c r="A7" s="42">
        <v>4</v>
      </c>
      <c r="B7" s="42">
        <v>15701354</v>
      </c>
      <c r="C7" s="42" t="s">
        <v>133</v>
      </c>
      <c r="D7" s="42">
        <v>699</v>
      </c>
      <c r="E7" s="42" t="s">
        <v>128</v>
      </c>
      <c r="F7" s="42" t="s">
        <v>129</v>
      </c>
      <c r="G7" s="42">
        <v>39</v>
      </c>
      <c r="H7" s="42">
        <v>1</v>
      </c>
      <c r="I7" s="43">
        <v>0</v>
      </c>
      <c r="J7" s="42">
        <v>2</v>
      </c>
      <c r="K7" s="42">
        <v>0</v>
      </c>
      <c r="L7" s="42">
        <v>0</v>
      </c>
      <c r="M7" s="43">
        <v>93826.63</v>
      </c>
      <c r="N7" s="44">
        <v>0</v>
      </c>
    </row>
    <row r="8" spans="1:14" x14ac:dyDescent="0.3">
      <c r="A8" s="42">
        <v>5</v>
      </c>
      <c r="B8" s="42">
        <v>15737888</v>
      </c>
      <c r="C8" s="42" t="s">
        <v>134</v>
      </c>
      <c r="D8" s="42">
        <v>850</v>
      </c>
      <c r="E8" s="42" t="s">
        <v>131</v>
      </c>
      <c r="F8" s="42" t="s">
        <v>129</v>
      </c>
      <c r="G8" s="42">
        <v>43</v>
      </c>
      <c r="H8" s="42">
        <v>2</v>
      </c>
      <c r="I8" s="43">
        <v>125510.82</v>
      </c>
      <c r="J8" s="42">
        <v>1</v>
      </c>
      <c r="K8" s="42">
        <v>1</v>
      </c>
      <c r="L8" s="42">
        <v>1</v>
      </c>
      <c r="M8" s="43">
        <v>79084.100000000006</v>
      </c>
      <c r="N8" s="44">
        <v>0</v>
      </c>
    </row>
    <row r="9" spans="1:14" x14ac:dyDescent="0.3">
      <c r="A9" s="42">
        <v>6</v>
      </c>
      <c r="B9" s="42">
        <v>15574012</v>
      </c>
      <c r="C9" s="42" t="s">
        <v>135</v>
      </c>
      <c r="D9" s="42">
        <v>645</v>
      </c>
      <c r="E9" s="42" t="s">
        <v>131</v>
      </c>
      <c r="F9" s="42" t="s">
        <v>136</v>
      </c>
      <c r="G9" s="42">
        <v>44</v>
      </c>
      <c r="H9" s="42">
        <v>8</v>
      </c>
      <c r="I9" s="43">
        <v>113755.78</v>
      </c>
      <c r="J9" s="42">
        <v>2</v>
      </c>
      <c r="K9" s="42">
        <v>1</v>
      </c>
      <c r="L9" s="42">
        <v>0</v>
      </c>
      <c r="M9" s="43">
        <v>149756.71</v>
      </c>
      <c r="N9" s="44">
        <v>1</v>
      </c>
    </row>
    <row r="10" spans="1:14" x14ac:dyDescent="0.3">
      <c r="A10" s="42">
        <v>7</v>
      </c>
      <c r="B10" s="42">
        <v>15592531</v>
      </c>
      <c r="C10" s="42" t="s">
        <v>137</v>
      </c>
      <c r="D10" s="42">
        <v>822</v>
      </c>
      <c r="E10" s="42" t="s">
        <v>128</v>
      </c>
      <c r="F10" s="42" t="s">
        <v>136</v>
      </c>
      <c r="G10" s="42">
        <v>50</v>
      </c>
      <c r="H10" s="42">
        <v>7</v>
      </c>
      <c r="I10" s="43">
        <v>0</v>
      </c>
      <c r="J10" s="42">
        <v>2</v>
      </c>
      <c r="K10" s="42">
        <v>1</v>
      </c>
      <c r="L10" s="42">
        <v>1</v>
      </c>
      <c r="M10" s="43">
        <v>10062.799999999999</v>
      </c>
      <c r="N10" s="44">
        <v>0</v>
      </c>
    </row>
    <row r="11" spans="1:14" x14ac:dyDescent="0.3">
      <c r="A11" s="42">
        <v>8</v>
      </c>
      <c r="B11" s="42">
        <v>15656148</v>
      </c>
      <c r="C11" s="42" t="s">
        <v>138</v>
      </c>
      <c r="D11" s="42">
        <v>376</v>
      </c>
      <c r="E11" s="42" t="s">
        <v>139</v>
      </c>
      <c r="F11" s="42" t="s">
        <v>129</v>
      </c>
      <c r="G11" s="42">
        <v>29</v>
      </c>
      <c r="H11" s="42">
        <v>4</v>
      </c>
      <c r="I11" s="43">
        <v>115046.74</v>
      </c>
      <c r="J11" s="42">
        <v>4</v>
      </c>
      <c r="K11" s="42">
        <v>1</v>
      </c>
      <c r="L11" s="42">
        <v>0</v>
      </c>
      <c r="M11" s="43">
        <v>119346.88</v>
      </c>
      <c r="N11" s="44">
        <v>1</v>
      </c>
    </row>
    <row r="12" spans="1:14" x14ac:dyDescent="0.3">
      <c r="A12" s="42">
        <v>9</v>
      </c>
      <c r="B12" s="42">
        <v>15792365</v>
      </c>
      <c r="C12" s="42" t="s">
        <v>140</v>
      </c>
      <c r="D12" s="42">
        <v>501</v>
      </c>
      <c r="E12" s="42" t="s">
        <v>128</v>
      </c>
      <c r="F12" s="42" t="s">
        <v>136</v>
      </c>
      <c r="G12" s="42">
        <v>44</v>
      </c>
      <c r="H12" s="42">
        <v>4</v>
      </c>
      <c r="I12" s="43">
        <v>142051.07</v>
      </c>
      <c r="J12" s="42">
        <v>2</v>
      </c>
      <c r="K12" s="42">
        <v>0</v>
      </c>
      <c r="L12" s="42">
        <v>1</v>
      </c>
      <c r="M12" s="43">
        <v>74940.5</v>
      </c>
      <c r="N12" s="44">
        <v>0</v>
      </c>
    </row>
    <row r="13" spans="1:14" x14ac:dyDescent="0.3">
      <c r="A13" s="42">
        <v>10</v>
      </c>
      <c r="B13" s="42">
        <v>15592389</v>
      </c>
      <c r="C13" s="42" t="s">
        <v>141</v>
      </c>
      <c r="D13" s="42">
        <v>684</v>
      </c>
      <c r="E13" s="42" t="s">
        <v>128</v>
      </c>
      <c r="F13" s="42" t="s">
        <v>136</v>
      </c>
      <c r="G13" s="42">
        <v>27</v>
      </c>
      <c r="H13" s="42">
        <v>2</v>
      </c>
      <c r="I13" s="43">
        <v>134603.88</v>
      </c>
      <c r="J13" s="42">
        <v>1</v>
      </c>
      <c r="K13" s="42">
        <v>1</v>
      </c>
      <c r="L13" s="42">
        <v>1</v>
      </c>
      <c r="M13" s="43">
        <v>71725.73</v>
      </c>
      <c r="N13" s="44">
        <v>0</v>
      </c>
    </row>
    <row r="14" spans="1:14" x14ac:dyDescent="0.3">
      <c r="A14" s="42">
        <v>11</v>
      </c>
      <c r="B14" s="42">
        <v>15767821</v>
      </c>
      <c r="C14" s="42" t="s">
        <v>142</v>
      </c>
      <c r="D14" s="42">
        <v>528</v>
      </c>
      <c r="E14" s="42" t="s">
        <v>128</v>
      </c>
      <c r="F14" s="42" t="s">
        <v>136</v>
      </c>
      <c r="G14" s="42">
        <v>31</v>
      </c>
      <c r="H14" s="42">
        <v>6</v>
      </c>
      <c r="I14" s="43">
        <v>102016.72</v>
      </c>
      <c r="J14" s="42">
        <v>2</v>
      </c>
      <c r="K14" s="42">
        <v>0</v>
      </c>
      <c r="L14" s="42">
        <v>0</v>
      </c>
      <c r="M14" s="43">
        <v>80181.119999999995</v>
      </c>
      <c r="N14" s="44">
        <v>0</v>
      </c>
    </row>
    <row r="15" spans="1:14" x14ac:dyDescent="0.3">
      <c r="A15" s="42">
        <v>12</v>
      </c>
      <c r="B15" s="42">
        <v>15737173</v>
      </c>
      <c r="C15" s="42" t="s">
        <v>143</v>
      </c>
      <c r="D15" s="42">
        <v>497</v>
      </c>
      <c r="E15" s="42" t="s">
        <v>131</v>
      </c>
      <c r="F15" s="42" t="s">
        <v>136</v>
      </c>
      <c r="G15" s="42">
        <v>24</v>
      </c>
      <c r="H15" s="42">
        <v>3</v>
      </c>
      <c r="I15" s="43">
        <v>0</v>
      </c>
      <c r="J15" s="42">
        <v>2</v>
      </c>
      <c r="K15" s="42">
        <v>1</v>
      </c>
      <c r="L15" s="42">
        <v>0</v>
      </c>
      <c r="M15" s="43">
        <v>76390.009999999995</v>
      </c>
      <c r="N15" s="44">
        <v>0</v>
      </c>
    </row>
    <row r="16" spans="1:14" x14ac:dyDescent="0.3">
      <c r="A16" s="42">
        <v>13</v>
      </c>
      <c r="B16" s="42">
        <v>15632264</v>
      </c>
      <c r="C16" s="42" t="s">
        <v>144</v>
      </c>
      <c r="D16" s="42">
        <v>476</v>
      </c>
      <c r="E16" s="42" t="s">
        <v>128</v>
      </c>
      <c r="F16" s="42" t="s">
        <v>129</v>
      </c>
      <c r="G16" s="42">
        <v>34</v>
      </c>
      <c r="H16" s="42">
        <v>10</v>
      </c>
      <c r="I16" s="43">
        <v>0</v>
      </c>
      <c r="J16" s="42">
        <v>2</v>
      </c>
      <c r="K16" s="42">
        <v>1</v>
      </c>
      <c r="L16" s="42">
        <v>0</v>
      </c>
      <c r="M16" s="43">
        <v>26260.98</v>
      </c>
      <c r="N16" s="44">
        <v>0</v>
      </c>
    </row>
    <row r="17" spans="1:14" x14ac:dyDescent="0.3">
      <c r="A17" s="42">
        <v>14</v>
      </c>
      <c r="B17" s="42">
        <v>15691483</v>
      </c>
      <c r="C17" s="42" t="s">
        <v>145</v>
      </c>
      <c r="D17" s="42">
        <v>549</v>
      </c>
      <c r="E17" s="42" t="s">
        <v>128</v>
      </c>
      <c r="F17" s="42" t="s">
        <v>129</v>
      </c>
      <c r="G17" s="42">
        <v>25</v>
      </c>
      <c r="H17" s="42">
        <v>5</v>
      </c>
      <c r="I17" s="43">
        <v>0</v>
      </c>
      <c r="J17" s="42">
        <v>2</v>
      </c>
      <c r="K17" s="42">
        <v>0</v>
      </c>
      <c r="L17" s="42">
        <v>0</v>
      </c>
      <c r="M17" s="43">
        <v>190857.79</v>
      </c>
      <c r="N17" s="44">
        <v>0</v>
      </c>
    </row>
    <row r="18" spans="1:14" x14ac:dyDescent="0.3">
      <c r="A18" s="42">
        <v>15</v>
      </c>
      <c r="B18" s="42">
        <v>15600882</v>
      </c>
      <c r="C18" s="42" t="s">
        <v>146</v>
      </c>
      <c r="D18" s="42">
        <v>635</v>
      </c>
      <c r="E18" s="42" t="s">
        <v>131</v>
      </c>
      <c r="F18" s="42" t="s">
        <v>129</v>
      </c>
      <c r="G18" s="42">
        <v>35</v>
      </c>
      <c r="H18" s="42">
        <v>7</v>
      </c>
      <c r="I18" s="43">
        <v>0</v>
      </c>
      <c r="J18" s="42">
        <v>2</v>
      </c>
      <c r="K18" s="42">
        <v>1</v>
      </c>
      <c r="L18" s="42">
        <v>1</v>
      </c>
      <c r="M18" s="43">
        <v>65951.649999999994</v>
      </c>
      <c r="N18" s="44">
        <v>0</v>
      </c>
    </row>
    <row r="19" spans="1:14" x14ac:dyDescent="0.3">
      <c r="A19" s="42">
        <v>16</v>
      </c>
      <c r="B19" s="42">
        <v>15643966</v>
      </c>
      <c r="C19" s="42" t="s">
        <v>147</v>
      </c>
      <c r="D19" s="42">
        <v>616</v>
      </c>
      <c r="E19" s="42" t="s">
        <v>139</v>
      </c>
      <c r="F19" s="42" t="s">
        <v>136</v>
      </c>
      <c r="G19" s="42">
        <v>45</v>
      </c>
      <c r="H19" s="42">
        <v>3</v>
      </c>
      <c r="I19" s="43">
        <v>143129.41</v>
      </c>
      <c r="J19" s="42">
        <v>2</v>
      </c>
      <c r="K19" s="42">
        <v>0</v>
      </c>
      <c r="L19" s="42">
        <v>1</v>
      </c>
      <c r="M19" s="43">
        <v>64327.26</v>
      </c>
      <c r="N19" s="44">
        <v>0</v>
      </c>
    </row>
    <row r="20" spans="1:14" x14ac:dyDescent="0.3">
      <c r="A20" s="42">
        <v>17</v>
      </c>
      <c r="B20" s="42">
        <v>15737452</v>
      </c>
      <c r="C20" s="42" t="s">
        <v>148</v>
      </c>
      <c r="D20" s="42">
        <v>653</v>
      </c>
      <c r="E20" s="42" t="s">
        <v>139</v>
      </c>
      <c r="F20" s="42" t="s">
        <v>136</v>
      </c>
      <c r="G20" s="42">
        <v>58</v>
      </c>
      <c r="H20" s="42">
        <v>1</v>
      </c>
      <c r="I20" s="43">
        <v>132602.88</v>
      </c>
      <c r="J20" s="42">
        <v>1</v>
      </c>
      <c r="K20" s="42">
        <v>1</v>
      </c>
      <c r="L20" s="42">
        <v>0</v>
      </c>
      <c r="M20" s="43">
        <v>5097.67</v>
      </c>
      <c r="N20" s="44">
        <v>1</v>
      </c>
    </row>
    <row r="21" spans="1:14" x14ac:dyDescent="0.3">
      <c r="A21" s="42">
        <v>18</v>
      </c>
      <c r="B21" s="42">
        <v>15788218</v>
      </c>
      <c r="C21" s="42" t="s">
        <v>149</v>
      </c>
      <c r="D21" s="42">
        <v>549</v>
      </c>
      <c r="E21" s="42" t="s">
        <v>131</v>
      </c>
      <c r="F21" s="42" t="s">
        <v>129</v>
      </c>
      <c r="G21" s="42">
        <v>24</v>
      </c>
      <c r="H21" s="42">
        <v>9</v>
      </c>
      <c r="I21" s="43">
        <v>0</v>
      </c>
      <c r="J21" s="42">
        <v>2</v>
      </c>
      <c r="K21" s="42">
        <v>1</v>
      </c>
      <c r="L21" s="42">
        <v>1</v>
      </c>
      <c r="M21" s="43">
        <v>14406.41</v>
      </c>
      <c r="N21" s="44">
        <v>0</v>
      </c>
    </row>
    <row r="22" spans="1:14" x14ac:dyDescent="0.3">
      <c r="A22" s="42">
        <v>19</v>
      </c>
      <c r="B22" s="42">
        <v>15661507</v>
      </c>
      <c r="C22" s="42" t="s">
        <v>150</v>
      </c>
      <c r="D22" s="42">
        <v>587</v>
      </c>
      <c r="E22" s="42" t="s">
        <v>131</v>
      </c>
      <c r="F22" s="42" t="s">
        <v>136</v>
      </c>
      <c r="G22" s="42">
        <v>45</v>
      </c>
      <c r="H22" s="42">
        <v>6</v>
      </c>
      <c r="I22" s="43">
        <v>0</v>
      </c>
      <c r="J22" s="42">
        <v>1</v>
      </c>
      <c r="K22" s="42">
        <v>0</v>
      </c>
      <c r="L22" s="42">
        <v>0</v>
      </c>
      <c r="M22" s="43">
        <v>158684.81</v>
      </c>
      <c r="N22" s="44">
        <v>0</v>
      </c>
    </row>
    <row r="23" spans="1:14" x14ac:dyDescent="0.3">
      <c r="A23" s="42">
        <v>20</v>
      </c>
      <c r="B23" s="42">
        <v>15568982</v>
      </c>
      <c r="C23" s="42" t="s">
        <v>151</v>
      </c>
      <c r="D23" s="42">
        <v>726</v>
      </c>
      <c r="E23" s="42" t="s">
        <v>128</v>
      </c>
      <c r="F23" s="42" t="s">
        <v>129</v>
      </c>
      <c r="G23" s="42">
        <v>24</v>
      </c>
      <c r="H23" s="42">
        <v>6</v>
      </c>
      <c r="I23" s="43">
        <v>0</v>
      </c>
      <c r="J23" s="42">
        <v>2</v>
      </c>
      <c r="K23" s="42">
        <v>1</v>
      </c>
      <c r="L23" s="42">
        <v>1</v>
      </c>
      <c r="M23" s="43">
        <v>54724.03</v>
      </c>
      <c r="N23" s="44">
        <v>0</v>
      </c>
    </row>
    <row r="25" spans="1:14" ht="25.8" x14ac:dyDescent="0.5">
      <c r="A25" s="40" t="s">
        <v>184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242C-B9EC-4A1D-A2AD-AA404176EDC4}">
  <dimension ref="A1:N33"/>
  <sheetViews>
    <sheetView topLeftCell="A11" workbookViewId="0">
      <selection activeCell="A3" sqref="A3:N23"/>
    </sheetView>
  </sheetViews>
  <sheetFormatPr defaultRowHeight="14.4" x14ac:dyDescent="0.3"/>
  <cols>
    <col min="1" max="1" width="11.21875" bestFit="1" customWidth="1"/>
    <col min="2" max="2" width="10.44140625" bestFit="1" customWidth="1"/>
    <col min="3" max="3" width="12" bestFit="1" customWidth="1"/>
    <col min="4" max="4" width="10.44140625" bestFit="1" customWidth="1"/>
    <col min="5" max="5" width="9.77734375" bestFit="1" customWidth="1"/>
    <col min="6" max="6" width="6.88671875" bestFit="1" customWidth="1"/>
    <col min="7" max="7" width="4" bestFit="1" customWidth="1"/>
    <col min="8" max="8" width="6.6640625" bestFit="1" customWidth="1"/>
    <col min="9" max="9" width="11" bestFit="1" customWidth="1"/>
    <col min="10" max="10" width="14.109375" bestFit="1" customWidth="1"/>
    <col min="11" max="11" width="9.5546875" bestFit="1" customWidth="1"/>
    <col min="12" max="12" width="14.33203125" bestFit="1" customWidth="1"/>
    <col min="13" max="13" width="14.109375" bestFit="1" customWidth="1"/>
  </cols>
  <sheetData>
    <row r="1" spans="1:14" ht="36.6" x14ac:dyDescent="0.7">
      <c r="E1" s="46" t="s">
        <v>185</v>
      </c>
    </row>
    <row r="3" spans="1:14" x14ac:dyDescent="0.3">
      <c r="A3" s="45" t="s">
        <v>115</v>
      </c>
      <c r="B3" s="45" t="s">
        <v>116</v>
      </c>
      <c r="C3" s="45" t="s">
        <v>117</v>
      </c>
      <c r="D3" s="45" t="s">
        <v>118</v>
      </c>
      <c r="E3" s="45" t="s">
        <v>119</v>
      </c>
      <c r="F3" s="45" t="s">
        <v>94</v>
      </c>
      <c r="G3" s="45" t="s">
        <v>88</v>
      </c>
      <c r="H3" s="45" t="s">
        <v>120</v>
      </c>
      <c r="I3" s="45" t="s">
        <v>121</v>
      </c>
      <c r="J3" s="45" t="s">
        <v>122</v>
      </c>
      <c r="K3" s="45" t="s">
        <v>123</v>
      </c>
      <c r="L3" s="45" t="s">
        <v>124</v>
      </c>
      <c r="M3" s="45" t="s">
        <v>125</v>
      </c>
      <c r="N3" s="45" t="s">
        <v>126</v>
      </c>
    </row>
    <row r="4" spans="1:14" x14ac:dyDescent="0.3">
      <c r="A4" s="32">
        <v>1</v>
      </c>
      <c r="B4" s="32">
        <v>15634602</v>
      </c>
      <c r="C4" s="32" t="s">
        <v>127</v>
      </c>
      <c r="D4" s="32">
        <v>619</v>
      </c>
      <c r="E4" s="32" t="s">
        <v>128</v>
      </c>
      <c r="F4" s="32" t="s">
        <v>129</v>
      </c>
      <c r="G4" s="32">
        <v>42</v>
      </c>
      <c r="H4" s="32">
        <v>2</v>
      </c>
      <c r="I4" s="47">
        <v>0</v>
      </c>
      <c r="J4" s="32">
        <v>1</v>
      </c>
      <c r="K4" s="32">
        <v>1</v>
      </c>
      <c r="L4" s="32">
        <v>1</v>
      </c>
      <c r="M4" s="47">
        <v>101348.88</v>
      </c>
      <c r="N4" s="32">
        <v>1</v>
      </c>
    </row>
    <row r="5" spans="1:14" x14ac:dyDescent="0.3">
      <c r="A5" s="32">
        <v>2</v>
      </c>
      <c r="B5" s="32">
        <v>15647311</v>
      </c>
      <c r="C5" s="32" t="s">
        <v>130</v>
      </c>
      <c r="D5" s="32">
        <v>608</v>
      </c>
      <c r="E5" s="32" t="s">
        <v>131</v>
      </c>
      <c r="F5" s="32" t="s">
        <v>129</v>
      </c>
      <c r="G5" s="32">
        <v>41</v>
      </c>
      <c r="H5" s="32">
        <v>1</v>
      </c>
      <c r="I5" s="47">
        <v>83807.86</v>
      </c>
      <c r="J5" s="32">
        <v>1</v>
      </c>
      <c r="K5" s="32">
        <v>0</v>
      </c>
      <c r="L5" s="32">
        <v>1</v>
      </c>
      <c r="M5" s="47">
        <v>112542.58</v>
      </c>
      <c r="N5" s="32">
        <v>0</v>
      </c>
    </row>
    <row r="6" spans="1:14" x14ac:dyDescent="0.3">
      <c r="A6" s="32">
        <v>3</v>
      </c>
      <c r="B6" s="32">
        <v>15619304</v>
      </c>
      <c r="C6" s="32" t="s">
        <v>132</v>
      </c>
      <c r="D6" s="32">
        <v>502</v>
      </c>
      <c r="E6" s="32" t="s">
        <v>128</v>
      </c>
      <c r="F6" s="32" t="s">
        <v>129</v>
      </c>
      <c r="G6" s="32">
        <v>42</v>
      </c>
      <c r="H6" s="32">
        <v>8</v>
      </c>
      <c r="I6" s="47">
        <v>159660.79999999999</v>
      </c>
      <c r="J6" s="32">
        <v>3</v>
      </c>
      <c r="K6" s="32">
        <v>1</v>
      </c>
      <c r="L6" s="32">
        <v>0</v>
      </c>
      <c r="M6" s="47">
        <v>113931.57</v>
      </c>
      <c r="N6" s="32">
        <v>1</v>
      </c>
    </row>
    <row r="7" spans="1:14" x14ac:dyDescent="0.3">
      <c r="A7" s="32">
        <v>4</v>
      </c>
      <c r="B7" s="32">
        <v>15701354</v>
      </c>
      <c r="C7" s="32" t="s">
        <v>133</v>
      </c>
      <c r="D7" s="32">
        <v>699</v>
      </c>
      <c r="E7" s="32" t="s">
        <v>128</v>
      </c>
      <c r="F7" s="32" t="s">
        <v>129</v>
      </c>
      <c r="G7" s="32">
        <v>39</v>
      </c>
      <c r="H7" s="32">
        <v>1</v>
      </c>
      <c r="I7" s="47">
        <v>0</v>
      </c>
      <c r="J7" s="32">
        <v>2</v>
      </c>
      <c r="K7" s="32">
        <v>0</v>
      </c>
      <c r="L7" s="32">
        <v>0</v>
      </c>
      <c r="M7" s="47">
        <v>93826.63</v>
      </c>
      <c r="N7" s="32">
        <v>0</v>
      </c>
    </row>
    <row r="8" spans="1:14" x14ac:dyDescent="0.3">
      <c r="A8" s="32">
        <v>5</v>
      </c>
      <c r="B8" s="32">
        <v>15737888</v>
      </c>
      <c r="C8" s="32" t="s">
        <v>134</v>
      </c>
      <c r="D8" s="32">
        <v>850</v>
      </c>
      <c r="E8" s="32" t="s">
        <v>131</v>
      </c>
      <c r="F8" s="32" t="s">
        <v>129</v>
      </c>
      <c r="G8" s="32">
        <v>43</v>
      </c>
      <c r="H8" s="32">
        <v>2</v>
      </c>
      <c r="I8" s="47">
        <v>125510.82</v>
      </c>
      <c r="J8" s="32">
        <v>1</v>
      </c>
      <c r="K8" s="32">
        <v>1</v>
      </c>
      <c r="L8" s="32">
        <v>1</v>
      </c>
      <c r="M8" s="47">
        <v>79084.100000000006</v>
      </c>
      <c r="N8" s="32">
        <v>0</v>
      </c>
    </row>
    <row r="9" spans="1:14" x14ac:dyDescent="0.3">
      <c r="A9" s="32">
        <v>6</v>
      </c>
      <c r="B9" s="32">
        <v>15574012</v>
      </c>
      <c r="C9" s="32" t="s">
        <v>135</v>
      </c>
      <c r="D9" s="32">
        <v>645</v>
      </c>
      <c r="E9" s="32" t="s">
        <v>131</v>
      </c>
      <c r="F9" s="32" t="s">
        <v>136</v>
      </c>
      <c r="G9" s="32">
        <v>44</v>
      </c>
      <c r="H9" s="32">
        <v>8</v>
      </c>
      <c r="I9" s="47">
        <v>113755.78</v>
      </c>
      <c r="J9" s="32">
        <v>2</v>
      </c>
      <c r="K9" s="32">
        <v>1</v>
      </c>
      <c r="L9" s="32">
        <v>0</v>
      </c>
      <c r="M9" s="47">
        <v>149756.71</v>
      </c>
      <c r="N9" s="32">
        <v>1</v>
      </c>
    </row>
    <row r="10" spans="1:14" x14ac:dyDescent="0.3">
      <c r="A10" s="32">
        <v>7</v>
      </c>
      <c r="B10" s="32">
        <v>15592531</v>
      </c>
      <c r="C10" s="32" t="s">
        <v>137</v>
      </c>
      <c r="D10" s="32">
        <v>822</v>
      </c>
      <c r="E10" s="32" t="s">
        <v>128</v>
      </c>
      <c r="F10" s="32" t="s">
        <v>136</v>
      </c>
      <c r="G10" s="32">
        <v>50</v>
      </c>
      <c r="H10" s="32">
        <v>7</v>
      </c>
      <c r="I10" s="47">
        <v>0</v>
      </c>
      <c r="J10" s="32">
        <v>2</v>
      </c>
      <c r="K10" s="32">
        <v>1</v>
      </c>
      <c r="L10" s="32">
        <v>1</v>
      </c>
      <c r="M10" s="47">
        <v>10062.799999999999</v>
      </c>
      <c r="N10" s="32">
        <v>0</v>
      </c>
    </row>
    <row r="11" spans="1:14" x14ac:dyDescent="0.3">
      <c r="A11" s="32">
        <v>8</v>
      </c>
      <c r="B11" s="32">
        <v>15656148</v>
      </c>
      <c r="C11" s="32" t="s">
        <v>138</v>
      </c>
      <c r="D11" s="32">
        <v>376</v>
      </c>
      <c r="E11" s="32" t="s">
        <v>139</v>
      </c>
      <c r="F11" s="32" t="s">
        <v>129</v>
      </c>
      <c r="G11" s="32">
        <v>29</v>
      </c>
      <c r="H11" s="32">
        <v>4</v>
      </c>
      <c r="I11" s="47">
        <v>115046.74</v>
      </c>
      <c r="J11" s="32">
        <v>4</v>
      </c>
      <c r="K11" s="32">
        <v>1</v>
      </c>
      <c r="L11" s="32">
        <v>0</v>
      </c>
      <c r="M11" s="47">
        <v>119346.88</v>
      </c>
      <c r="N11" s="32">
        <v>1</v>
      </c>
    </row>
    <row r="12" spans="1:14" x14ac:dyDescent="0.3">
      <c r="A12" s="32">
        <v>9</v>
      </c>
      <c r="B12" s="32">
        <v>15792365</v>
      </c>
      <c r="C12" s="32" t="s">
        <v>140</v>
      </c>
      <c r="D12" s="32">
        <v>501</v>
      </c>
      <c r="E12" s="32" t="s">
        <v>128</v>
      </c>
      <c r="F12" s="32" t="s">
        <v>136</v>
      </c>
      <c r="G12" s="32">
        <v>44</v>
      </c>
      <c r="H12" s="32">
        <v>4</v>
      </c>
      <c r="I12" s="47">
        <v>142051.07</v>
      </c>
      <c r="J12" s="32">
        <v>2</v>
      </c>
      <c r="K12" s="32">
        <v>0</v>
      </c>
      <c r="L12" s="32">
        <v>1</v>
      </c>
      <c r="M12" s="47">
        <v>74940.5</v>
      </c>
      <c r="N12" s="32">
        <v>0</v>
      </c>
    </row>
    <row r="13" spans="1:14" x14ac:dyDescent="0.3">
      <c r="A13" s="32">
        <v>10</v>
      </c>
      <c r="B13" s="32">
        <v>15592389</v>
      </c>
      <c r="C13" s="32" t="s">
        <v>141</v>
      </c>
      <c r="D13" s="32">
        <v>684</v>
      </c>
      <c r="E13" s="32" t="s">
        <v>128</v>
      </c>
      <c r="F13" s="32" t="s">
        <v>136</v>
      </c>
      <c r="G13" s="32">
        <v>27</v>
      </c>
      <c r="H13" s="32">
        <v>2</v>
      </c>
      <c r="I13" s="47">
        <v>134603.88</v>
      </c>
      <c r="J13" s="32">
        <v>1</v>
      </c>
      <c r="K13" s="32">
        <v>1</v>
      </c>
      <c r="L13" s="32">
        <v>1</v>
      </c>
      <c r="M13" s="47">
        <v>71725.73</v>
      </c>
      <c r="N13" s="32">
        <v>0</v>
      </c>
    </row>
    <row r="14" spans="1:14" x14ac:dyDescent="0.3">
      <c r="A14" s="32">
        <v>11</v>
      </c>
      <c r="B14" s="32">
        <v>15767821</v>
      </c>
      <c r="C14" s="32" t="s">
        <v>142</v>
      </c>
      <c r="D14" s="32">
        <v>528</v>
      </c>
      <c r="E14" s="32" t="s">
        <v>128</v>
      </c>
      <c r="F14" s="32" t="s">
        <v>136</v>
      </c>
      <c r="G14" s="32">
        <v>31</v>
      </c>
      <c r="H14" s="32">
        <v>6</v>
      </c>
      <c r="I14" s="47">
        <v>102016.72</v>
      </c>
      <c r="J14" s="32">
        <v>2</v>
      </c>
      <c r="K14" s="32">
        <v>0</v>
      </c>
      <c r="L14" s="32">
        <v>0</v>
      </c>
      <c r="M14" s="47">
        <v>80181.119999999995</v>
      </c>
      <c r="N14" s="32">
        <v>0</v>
      </c>
    </row>
    <row r="15" spans="1:14" x14ac:dyDescent="0.3">
      <c r="A15" s="32">
        <v>12</v>
      </c>
      <c r="B15" s="32">
        <v>15737173</v>
      </c>
      <c r="C15" s="32" t="s">
        <v>143</v>
      </c>
      <c r="D15" s="32">
        <v>497</v>
      </c>
      <c r="E15" s="32" t="s">
        <v>131</v>
      </c>
      <c r="F15" s="32" t="s">
        <v>136</v>
      </c>
      <c r="G15" s="32">
        <v>24</v>
      </c>
      <c r="H15" s="32">
        <v>3</v>
      </c>
      <c r="I15" s="47">
        <v>0</v>
      </c>
      <c r="J15" s="32">
        <v>2</v>
      </c>
      <c r="K15" s="32">
        <v>1</v>
      </c>
      <c r="L15" s="32">
        <v>0</v>
      </c>
      <c r="M15" s="47">
        <v>76390.009999999995</v>
      </c>
      <c r="N15" s="32">
        <v>0</v>
      </c>
    </row>
    <row r="16" spans="1:14" x14ac:dyDescent="0.3">
      <c r="A16" s="32">
        <v>13</v>
      </c>
      <c r="B16" s="32">
        <v>15632264</v>
      </c>
      <c r="C16" s="32" t="s">
        <v>144</v>
      </c>
      <c r="D16" s="32">
        <v>476</v>
      </c>
      <c r="E16" s="32" t="s">
        <v>128</v>
      </c>
      <c r="F16" s="32" t="s">
        <v>129</v>
      </c>
      <c r="G16" s="32">
        <v>34</v>
      </c>
      <c r="H16" s="32">
        <v>10</v>
      </c>
      <c r="I16" s="47">
        <v>0</v>
      </c>
      <c r="J16" s="32">
        <v>2</v>
      </c>
      <c r="K16" s="32">
        <v>1</v>
      </c>
      <c r="L16" s="32">
        <v>0</v>
      </c>
      <c r="M16" s="47">
        <v>26260.98</v>
      </c>
      <c r="N16" s="32">
        <v>0</v>
      </c>
    </row>
    <row r="17" spans="1:14" x14ac:dyDescent="0.3">
      <c r="A17" s="32">
        <v>14</v>
      </c>
      <c r="B17" s="32">
        <v>15691483</v>
      </c>
      <c r="C17" s="32" t="s">
        <v>145</v>
      </c>
      <c r="D17" s="32">
        <v>549</v>
      </c>
      <c r="E17" s="32" t="s">
        <v>128</v>
      </c>
      <c r="F17" s="32" t="s">
        <v>129</v>
      </c>
      <c r="G17" s="32">
        <v>25</v>
      </c>
      <c r="H17" s="32">
        <v>5</v>
      </c>
      <c r="I17" s="47">
        <v>0</v>
      </c>
      <c r="J17" s="32">
        <v>2</v>
      </c>
      <c r="K17" s="32">
        <v>0</v>
      </c>
      <c r="L17" s="32">
        <v>0</v>
      </c>
      <c r="M17" s="47">
        <v>190857.79</v>
      </c>
      <c r="N17" s="32">
        <v>0</v>
      </c>
    </row>
    <row r="18" spans="1:14" x14ac:dyDescent="0.3">
      <c r="A18" s="32">
        <v>15</v>
      </c>
      <c r="B18" s="32">
        <v>15600882</v>
      </c>
      <c r="C18" s="32" t="s">
        <v>146</v>
      </c>
      <c r="D18" s="32">
        <v>635</v>
      </c>
      <c r="E18" s="32" t="s">
        <v>131</v>
      </c>
      <c r="F18" s="32" t="s">
        <v>129</v>
      </c>
      <c r="G18" s="32">
        <v>35</v>
      </c>
      <c r="H18" s="32">
        <v>7</v>
      </c>
      <c r="I18" s="47">
        <v>0</v>
      </c>
      <c r="J18" s="32">
        <v>2</v>
      </c>
      <c r="K18" s="32">
        <v>1</v>
      </c>
      <c r="L18" s="32">
        <v>1</v>
      </c>
      <c r="M18" s="47">
        <v>65951.649999999994</v>
      </c>
      <c r="N18" s="32">
        <v>0</v>
      </c>
    </row>
    <row r="19" spans="1:14" x14ac:dyDescent="0.3">
      <c r="A19" s="32">
        <v>16</v>
      </c>
      <c r="B19" s="32">
        <v>15643966</v>
      </c>
      <c r="C19" s="32" t="s">
        <v>147</v>
      </c>
      <c r="D19" s="32">
        <v>616</v>
      </c>
      <c r="E19" s="32" t="s">
        <v>139</v>
      </c>
      <c r="F19" s="32" t="s">
        <v>136</v>
      </c>
      <c r="G19" s="32">
        <v>45</v>
      </c>
      <c r="H19" s="32">
        <v>3</v>
      </c>
      <c r="I19" s="47">
        <v>143129.41</v>
      </c>
      <c r="J19" s="32">
        <v>2</v>
      </c>
      <c r="K19" s="32">
        <v>0</v>
      </c>
      <c r="L19" s="32">
        <v>1</v>
      </c>
      <c r="M19" s="47">
        <v>64327.26</v>
      </c>
      <c r="N19" s="32">
        <v>0</v>
      </c>
    </row>
    <row r="20" spans="1:14" x14ac:dyDescent="0.3">
      <c r="A20" s="32">
        <v>17</v>
      </c>
      <c r="B20" s="32">
        <v>15737452</v>
      </c>
      <c r="C20" s="32" t="s">
        <v>148</v>
      </c>
      <c r="D20" s="32">
        <v>653</v>
      </c>
      <c r="E20" s="32" t="s">
        <v>139</v>
      </c>
      <c r="F20" s="32" t="s">
        <v>136</v>
      </c>
      <c r="G20" s="32">
        <v>58</v>
      </c>
      <c r="H20" s="32">
        <v>1</v>
      </c>
      <c r="I20" s="47">
        <v>132602.88</v>
      </c>
      <c r="J20" s="32">
        <v>1</v>
      </c>
      <c r="K20" s="32">
        <v>1</v>
      </c>
      <c r="L20" s="32">
        <v>0</v>
      </c>
      <c r="M20" s="47">
        <v>5097.67</v>
      </c>
      <c r="N20" s="32">
        <v>1</v>
      </c>
    </row>
    <row r="21" spans="1:14" x14ac:dyDescent="0.3">
      <c r="A21" s="32">
        <v>18</v>
      </c>
      <c r="B21" s="32">
        <v>15788218</v>
      </c>
      <c r="C21" s="32" t="s">
        <v>149</v>
      </c>
      <c r="D21" s="32">
        <v>549</v>
      </c>
      <c r="E21" s="32" t="s">
        <v>131</v>
      </c>
      <c r="F21" s="32" t="s">
        <v>129</v>
      </c>
      <c r="G21" s="32">
        <v>24</v>
      </c>
      <c r="H21" s="32">
        <v>9</v>
      </c>
      <c r="I21" s="47">
        <v>0</v>
      </c>
      <c r="J21" s="32">
        <v>2</v>
      </c>
      <c r="K21" s="32">
        <v>1</v>
      </c>
      <c r="L21" s="32">
        <v>1</v>
      </c>
      <c r="M21" s="47">
        <v>14406.41</v>
      </c>
      <c r="N21" s="32">
        <v>0</v>
      </c>
    </row>
    <row r="22" spans="1:14" x14ac:dyDescent="0.3">
      <c r="A22" s="32">
        <v>19</v>
      </c>
      <c r="B22" s="32">
        <v>15661507</v>
      </c>
      <c r="C22" s="32" t="s">
        <v>150</v>
      </c>
      <c r="D22" s="32">
        <v>587</v>
      </c>
      <c r="E22" s="32" t="s">
        <v>131</v>
      </c>
      <c r="F22" s="32" t="s">
        <v>136</v>
      </c>
      <c r="G22" s="32">
        <v>45</v>
      </c>
      <c r="H22" s="32">
        <v>6</v>
      </c>
      <c r="I22" s="47">
        <v>0</v>
      </c>
      <c r="J22" s="32">
        <v>1</v>
      </c>
      <c r="K22" s="32">
        <v>0</v>
      </c>
      <c r="L22" s="32">
        <v>0</v>
      </c>
      <c r="M22" s="47">
        <v>158684.81</v>
      </c>
      <c r="N22" s="32">
        <v>0</v>
      </c>
    </row>
    <row r="23" spans="1:14" x14ac:dyDescent="0.3">
      <c r="A23" s="32">
        <v>20</v>
      </c>
      <c r="B23" s="32">
        <v>15568982</v>
      </c>
      <c r="C23" s="32" t="s">
        <v>151</v>
      </c>
      <c r="D23" s="32">
        <v>726</v>
      </c>
      <c r="E23" s="32" t="s">
        <v>128</v>
      </c>
      <c r="F23" s="32" t="s">
        <v>129</v>
      </c>
      <c r="G23" s="32">
        <v>24</v>
      </c>
      <c r="H23" s="32">
        <v>6</v>
      </c>
      <c r="I23" s="47">
        <v>0</v>
      </c>
      <c r="J23" s="32">
        <v>2</v>
      </c>
      <c r="K23" s="32">
        <v>1</v>
      </c>
      <c r="L23" s="32">
        <v>1</v>
      </c>
      <c r="M23" s="47">
        <v>54724.03</v>
      </c>
      <c r="N23" s="32">
        <v>0</v>
      </c>
    </row>
    <row r="25" spans="1:14" x14ac:dyDescent="0.3">
      <c r="C25" t="s">
        <v>186</v>
      </c>
      <c r="D25" t="s">
        <v>178</v>
      </c>
    </row>
    <row r="26" spans="1:14" x14ac:dyDescent="0.3">
      <c r="C26" s="48">
        <v>1</v>
      </c>
    </row>
    <row r="27" spans="1:14" x14ac:dyDescent="0.3">
      <c r="C27" s="48">
        <v>2</v>
      </c>
    </row>
    <row r="28" spans="1:14" x14ac:dyDescent="0.3">
      <c r="C28" s="48">
        <v>3</v>
      </c>
    </row>
    <row r="29" spans="1:14" x14ac:dyDescent="0.3">
      <c r="C29" s="48">
        <v>4</v>
      </c>
    </row>
    <row r="30" spans="1:14" x14ac:dyDescent="0.3">
      <c r="C30" s="48">
        <v>5</v>
      </c>
    </row>
    <row r="31" spans="1:14" x14ac:dyDescent="0.3">
      <c r="C31" s="48">
        <v>6</v>
      </c>
    </row>
    <row r="32" spans="1:14" x14ac:dyDescent="0.3">
      <c r="C32" s="48">
        <v>7</v>
      </c>
    </row>
    <row r="33" spans="3:3" x14ac:dyDescent="0.3">
      <c r="C33" s="4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BE7B4-3CA9-4651-A997-A2A0CA5EA4F2}">
  <dimension ref="A2:N22"/>
  <sheetViews>
    <sheetView workbookViewId="0">
      <selection activeCell="A2" sqref="A2:N22"/>
    </sheetView>
  </sheetViews>
  <sheetFormatPr defaultRowHeight="14.4" x14ac:dyDescent="0.3"/>
  <cols>
    <col min="1" max="1" width="11.5546875" bestFit="1" customWidth="1"/>
    <col min="2" max="2" width="10.77734375" bestFit="1" customWidth="1"/>
    <col min="3" max="3" width="9.77734375" bestFit="1" customWidth="1"/>
    <col min="4" max="4" width="10.6640625" bestFit="1" customWidth="1"/>
    <col min="5" max="5" width="10.21875" bestFit="1" customWidth="1"/>
    <col min="6" max="6" width="7.109375" bestFit="1" customWidth="1"/>
    <col min="7" max="7" width="4.21875" bestFit="1" customWidth="1"/>
    <col min="8" max="8" width="6.88671875" bestFit="1" customWidth="1"/>
    <col min="9" max="9" width="11" bestFit="1" customWidth="1"/>
    <col min="10" max="10" width="14.6640625" bestFit="1" customWidth="1"/>
    <col min="11" max="11" width="9.6640625" bestFit="1" customWidth="1"/>
    <col min="12" max="12" width="14.88671875" bestFit="1" customWidth="1"/>
    <col min="13" max="13" width="14.5546875" bestFit="1" customWidth="1"/>
  </cols>
  <sheetData>
    <row r="2" spans="1:14" x14ac:dyDescent="0.3">
      <c r="A2" s="45" t="s">
        <v>115</v>
      </c>
      <c r="B2" s="45" t="s">
        <v>116</v>
      </c>
      <c r="C2" s="45" t="s">
        <v>117</v>
      </c>
      <c r="D2" s="45" t="s">
        <v>118</v>
      </c>
      <c r="E2" s="45" t="s">
        <v>119</v>
      </c>
      <c r="F2" s="45" t="s">
        <v>94</v>
      </c>
      <c r="G2" s="45" t="s">
        <v>88</v>
      </c>
      <c r="H2" s="45" t="s">
        <v>120</v>
      </c>
      <c r="I2" s="45" t="s">
        <v>121</v>
      </c>
      <c r="J2" s="45" t="s">
        <v>122</v>
      </c>
      <c r="K2" s="45" t="s">
        <v>123</v>
      </c>
      <c r="L2" s="45" t="s">
        <v>124</v>
      </c>
      <c r="M2" s="45" t="s">
        <v>125</v>
      </c>
      <c r="N2" s="45" t="s">
        <v>126</v>
      </c>
    </row>
    <row r="3" spans="1:14" x14ac:dyDescent="0.3">
      <c r="A3" s="32">
        <v>1</v>
      </c>
      <c r="B3" s="32">
        <v>15634602</v>
      </c>
      <c r="C3" s="32" t="s">
        <v>127</v>
      </c>
      <c r="D3" s="32">
        <v>619</v>
      </c>
      <c r="E3" s="32" t="s">
        <v>128</v>
      </c>
      <c r="F3" s="32" t="s">
        <v>129</v>
      </c>
      <c r="G3" s="32">
        <v>42</v>
      </c>
      <c r="H3" s="32">
        <v>2</v>
      </c>
      <c r="I3" s="47">
        <v>0</v>
      </c>
      <c r="J3" s="32">
        <v>1</v>
      </c>
      <c r="K3" s="32">
        <v>1</v>
      </c>
      <c r="L3" s="32">
        <v>1</v>
      </c>
      <c r="M3" s="32">
        <v>101348.88</v>
      </c>
      <c r="N3" s="32">
        <v>1</v>
      </c>
    </row>
    <row r="4" spans="1:14" x14ac:dyDescent="0.3">
      <c r="A4" s="32">
        <v>2</v>
      </c>
      <c r="B4" s="32">
        <v>15647311</v>
      </c>
      <c r="C4" s="32" t="s">
        <v>130</v>
      </c>
      <c r="D4" s="32">
        <v>608</v>
      </c>
      <c r="E4" s="32" t="s">
        <v>131</v>
      </c>
      <c r="F4" s="32" t="s">
        <v>129</v>
      </c>
      <c r="G4" s="32">
        <v>41</v>
      </c>
      <c r="H4" s="32">
        <v>1</v>
      </c>
      <c r="I4" s="47">
        <v>83807.86</v>
      </c>
      <c r="J4" s="32">
        <v>1</v>
      </c>
      <c r="K4" s="32">
        <v>0</v>
      </c>
      <c r="L4" s="32">
        <v>1</v>
      </c>
      <c r="M4" s="32">
        <v>112542.58</v>
      </c>
      <c r="N4" s="32">
        <v>0</v>
      </c>
    </row>
    <row r="5" spans="1:14" x14ac:dyDescent="0.3">
      <c r="A5" s="32">
        <v>3</v>
      </c>
      <c r="B5" s="32">
        <v>15619304</v>
      </c>
      <c r="C5" s="32" t="s">
        <v>132</v>
      </c>
      <c r="D5" s="32">
        <v>502</v>
      </c>
      <c r="E5" s="32" t="s">
        <v>128</v>
      </c>
      <c r="F5" s="32" t="s">
        <v>129</v>
      </c>
      <c r="G5" s="32">
        <v>42</v>
      </c>
      <c r="H5" s="32">
        <v>8</v>
      </c>
      <c r="I5" s="47">
        <v>159660.79999999999</v>
      </c>
      <c r="J5" s="32">
        <v>3</v>
      </c>
      <c r="K5" s="32">
        <v>1</v>
      </c>
      <c r="L5" s="32">
        <v>0</v>
      </c>
      <c r="M5" s="32">
        <v>113931.57</v>
      </c>
      <c r="N5" s="32">
        <v>1</v>
      </c>
    </row>
    <row r="6" spans="1:14" x14ac:dyDescent="0.3">
      <c r="A6" s="32">
        <v>4</v>
      </c>
      <c r="B6" s="32">
        <v>15701354</v>
      </c>
      <c r="C6" s="32" t="s">
        <v>133</v>
      </c>
      <c r="D6" s="32">
        <v>699</v>
      </c>
      <c r="E6" s="32" t="s">
        <v>128</v>
      </c>
      <c r="F6" s="32" t="s">
        <v>129</v>
      </c>
      <c r="G6" s="32">
        <v>39</v>
      </c>
      <c r="H6" s="32">
        <v>1</v>
      </c>
      <c r="I6" s="47">
        <v>0</v>
      </c>
      <c r="J6" s="32">
        <v>2</v>
      </c>
      <c r="K6" s="32">
        <v>0</v>
      </c>
      <c r="L6" s="32">
        <v>0</v>
      </c>
      <c r="M6" s="32">
        <v>93826.63</v>
      </c>
      <c r="N6" s="32">
        <v>0</v>
      </c>
    </row>
    <row r="7" spans="1:14" x14ac:dyDescent="0.3">
      <c r="A7" s="32">
        <v>5</v>
      </c>
      <c r="B7" s="32">
        <v>15737888</v>
      </c>
      <c r="C7" s="32" t="s">
        <v>134</v>
      </c>
      <c r="D7" s="32">
        <v>850</v>
      </c>
      <c r="E7" s="32" t="s">
        <v>131</v>
      </c>
      <c r="F7" s="32" t="s">
        <v>129</v>
      </c>
      <c r="G7" s="32">
        <v>43</v>
      </c>
      <c r="H7" s="32">
        <v>2</v>
      </c>
      <c r="I7" s="47">
        <v>125510.82</v>
      </c>
      <c r="J7" s="32">
        <v>1</v>
      </c>
      <c r="K7" s="32">
        <v>1</v>
      </c>
      <c r="L7" s="32">
        <v>1</v>
      </c>
      <c r="M7" s="32">
        <v>79084.100000000006</v>
      </c>
      <c r="N7" s="32">
        <v>0</v>
      </c>
    </row>
    <row r="8" spans="1:14" x14ac:dyDescent="0.3">
      <c r="A8" s="32">
        <v>6</v>
      </c>
      <c r="B8" s="32">
        <v>15574012</v>
      </c>
      <c r="C8" s="32" t="s">
        <v>135</v>
      </c>
      <c r="D8" s="32">
        <v>645</v>
      </c>
      <c r="E8" s="32" t="s">
        <v>131</v>
      </c>
      <c r="F8" s="32" t="s">
        <v>136</v>
      </c>
      <c r="G8" s="32">
        <v>44</v>
      </c>
      <c r="H8" s="32">
        <v>8</v>
      </c>
      <c r="I8" s="47">
        <v>113755.78</v>
      </c>
      <c r="J8" s="32">
        <v>2</v>
      </c>
      <c r="K8" s="32">
        <v>1</v>
      </c>
      <c r="L8" s="32">
        <v>0</v>
      </c>
      <c r="M8" s="32">
        <v>149756.71</v>
      </c>
      <c r="N8" s="32">
        <v>1</v>
      </c>
    </row>
    <row r="9" spans="1:14" x14ac:dyDescent="0.3">
      <c r="A9" s="32">
        <v>7</v>
      </c>
      <c r="B9" s="32">
        <v>15592531</v>
      </c>
      <c r="C9" s="32" t="s">
        <v>137</v>
      </c>
      <c r="D9" s="32">
        <v>822</v>
      </c>
      <c r="E9" s="32" t="s">
        <v>128</v>
      </c>
      <c r="F9" s="32" t="s">
        <v>136</v>
      </c>
      <c r="G9" s="32">
        <v>50</v>
      </c>
      <c r="H9" s="32">
        <v>7</v>
      </c>
      <c r="I9" s="47">
        <v>0</v>
      </c>
      <c r="J9" s="32">
        <v>2</v>
      </c>
      <c r="K9" s="32">
        <v>1</v>
      </c>
      <c r="L9" s="32">
        <v>1</v>
      </c>
      <c r="M9" s="32">
        <v>10062.799999999999</v>
      </c>
      <c r="N9" s="32">
        <v>0</v>
      </c>
    </row>
    <row r="10" spans="1:14" x14ac:dyDescent="0.3">
      <c r="A10" s="32">
        <v>8</v>
      </c>
      <c r="B10" s="32">
        <v>15656148</v>
      </c>
      <c r="C10" s="32" t="s">
        <v>138</v>
      </c>
      <c r="D10" s="32">
        <v>376</v>
      </c>
      <c r="E10" s="32" t="s">
        <v>139</v>
      </c>
      <c r="F10" s="32" t="s">
        <v>129</v>
      </c>
      <c r="G10" s="32">
        <v>29</v>
      </c>
      <c r="H10" s="32">
        <v>4</v>
      </c>
      <c r="I10" s="47">
        <v>115046.74</v>
      </c>
      <c r="J10" s="32">
        <v>4</v>
      </c>
      <c r="K10" s="32">
        <v>1</v>
      </c>
      <c r="L10" s="32">
        <v>0</v>
      </c>
      <c r="M10" s="32">
        <v>119346.88</v>
      </c>
      <c r="N10" s="32">
        <v>1</v>
      </c>
    </row>
    <row r="11" spans="1:14" x14ac:dyDescent="0.3">
      <c r="A11" s="32">
        <v>9</v>
      </c>
      <c r="B11" s="32">
        <v>15792365</v>
      </c>
      <c r="C11" s="32" t="s">
        <v>140</v>
      </c>
      <c r="D11" s="32">
        <v>501</v>
      </c>
      <c r="E11" s="32" t="s">
        <v>128</v>
      </c>
      <c r="F11" s="32" t="s">
        <v>136</v>
      </c>
      <c r="G11" s="32">
        <v>44</v>
      </c>
      <c r="H11" s="32">
        <v>4</v>
      </c>
      <c r="I11" s="47">
        <v>142051.07</v>
      </c>
      <c r="J11" s="32">
        <v>2</v>
      </c>
      <c r="K11" s="32">
        <v>0</v>
      </c>
      <c r="L11" s="32">
        <v>1</v>
      </c>
      <c r="M11" s="32">
        <v>74940.5</v>
      </c>
      <c r="N11" s="32">
        <v>0</v>
      </c>
    </row>
    <row r="12" spans="1:14" x14ac:dyDescent="0.3">
      <c r="A12" s="32">
        <v>10</v>
      </c>
      <c r="B12" s="32">
        <v>15592389</v>
      </c>
      <c r="C12" s="32" t="s">
        <v>141</v>
      </c>
      <c r="D12" s="32">
        <v>684</v>
      </c>
      <c r="E12" s="32" t="s">
        <v>128</v>
      </c>
      <c r="F12" s="32" t="s">
        <v>136</v>
      </c>
      <c r="G12" s="32">
        <v>27</v>
      </c>
      <c r="H12" s="32">
        <v>2</v>
      </c>
      <c r="I12" s="47">
        <v>134603.88</v>
      </c>
      <c r="J12" s="32">
        <v>1</v>
      </c>
      <c r="K12" s="32">
        <v>1</v>
      </c>
      <c r="L12" s="32">
        <v>1</v>
      </c>
      <c r="M12" s="32">
        <v>71725.73</v>
      </c>
      <c r="N12" s="32">
        <v>0</v>
      </c>
    </row>
    <row r="13" spans="1:14" x14ac:dyDescent="0.3">
      <c r="A13" s="32">
        <v>11</v>
      </c>
      <c r="B13" s="32">
        <v>15767821</v>
      </c>
      <c r="C13" s="32" t="s">
        <v>142</v>
      </c>
      <c r="D13" s="32">
        <v>528</v>
      </c>
      <c r="E13" s="32" t="s">
        <v>128</v>
      </c>
      <c r="F13" s="32" t="s">
        <v>136</v>
      </c>
      <c r="G13" s="32">
        <v>31</v>
      </c>
      <c r="H13" s="32">
        <v>6</v>
      </c>
      <c r="I13" s="47">
        <v>102016.72</v>
      </c>
      <c r="J13" s="32">
        <v>2</v>
      </c>
      <c r="K13" s="32">
        <v>0</v>
      </c>
      <c r="L13" s="32">
        <v>0</v>
      </c>
      <c r="M13" s="32">
        <v>80181.119999999995</v>
      </c>
      <c r="N13" s="32">
        <v>0</v>
      </c>
    </row>
    <row r="14" spans="1:14" x14ac:dyDescent="0.3">
      <c r="A14" s="32">
        <v>12</v>
      </c>
      <c r="B14" s="32">
        <v>15737173</v>
      </c>
      <c r="C14" s="32" t="s">
        <v>143</v>
      </c>
      <c r="D14" s="32">
        <v>497</v>
      </c>
      <c r="E14" s="32" t="s">
        <v>131</v>
      </c>
      <c r="F14" s="32" t="s">
        <v>136</v>
      </c>
      <c r="G14" s="32">
        <v>24</v>
      </c>
      <c r="H14" s="32">
        <v>3</v>
      </c>
      <c r="I14" s="47">
        <v>0</v>
      </c>
      <c r="J14" s="32">
        <v>2</v>
      </c>
      <c r="K14" s="32">
        <v>1</v>
      </c>
      <c r="L14" s="32">
        <v>0</v>
      </c>
      <c r="M14" s="32">
        <v>76390.009999999995</v>
      </c>
      <c r="N14" s="32">
        <v>0</v>
      </c>
    </row>
    <row r="15" spans="1:14" x14ac:dyDescent="0.3">
      <c r="A15" s="32">
        <v>13</v>
      </c>
      <c r="B15" s="32">
        <v>15632264</v>
      </c>
      <c r="C15" s="32" t="s">
        <v>144</v>
      </c>
      <c r="D15" s="32">
        <v>476</v>
      </c>
      <c r="E15" s="32" t="s">
        <v>128</v>
      </c>
      <c r="F15" s="32" t="s">
        <v>129</v>
      </c>
      <c r="G15" s="32">
        <v>34</v>
      </c>
      <c r="H15" s="32">
        <v>10</v>
      </c>
      <c r="I15" s="47">
        <v>0</v>
      </c>
      <c r="J15" s="32">
        <v>2</v>
      </c>
      <c r="K15" s="32">
        <v>1</v>
      </c>
      <c r="L15" s="32">
        <v>0</v>
      </c>
      <c r="M15" s="32">
        <v>26260.98</v>
      </c>
      <c r="N15" s="32">
        <v>0</v>
      </c>
    </row>
    <row r="16" spans="1:14" x14ac:dyDescent="0.3">
      <c r="A16" s="32">
        <v>14</v>
      </c>
      <c r="B16" s="32">
        <v>15691483</v>
      </c>
      <c r="C16" s="32" t="s">
        <v>145</v>
      </c>
      <c r="D16" s="32">
        <v>549</v>
      </c>
      <c r="E16" s="32" t="s">
        <v>128</v>
      </c>
      <c r="F16" s="32" t="s">
        <v>129</v>
      </c>
      <c r="G16" s="32">
        <v>25</v>
      </c>
      <c r="H16" s="32">
        <v>5</v>
      </c>
      <c r="I16" s="47">
        <v>0</v>
      </c>
      <c r="J16" s="32">
        <v>2</v>
      </c>
      <c r="K16" s="32">
        <v>0</v>
      </c>
      <c r="L16" s="32">
        <v>0</v>
      </c>
      <c r="M16" s="32">
        <v>190857.79</v>
      </c>
      <c r="N16" s="32">
        <v>0</v>
      </c>
    </row>
    <row r="17" spans="1:14" x14ac:dyDescent="0.3">
      <c r="A17" s="32">
        <v>15</v>
      </c>
      <c r="B17" s="32">
        <v>15600882</v>
      </c>
      <c r="C17" s="32" t="s">
        <v>146</v>
      </c>
      <c r="D17" s="32">
        <v>635</v>
      </c>
      <c r="E17" s="32" t="s">
        <v>131</v>
      </c>
      <c r="F17" s="32" t="s">
        <v>129</v>
      </c>
      <c r="G17" s="32">
        <v>35</v>
      </c>
      <c r="H17" s="32">
        <v>7</v>
      </c>
      <c r="I17" s="47">
        <v>0</v>
      </c>
      <c r="J17" s="32">
        <v>2</v>
      </c>
      <c r="K17" s="32">
        <v>1</v>
      </c>
      <c r="L17" s="32">
        <v>1</v>
      </c>
      <c r="M17" s="32">
        <v>65951.649999999994</v>
      </c>
      <c r="N17" s="32">
        <v>0</v>
      </c>
    </row>
    <row r="18" spans="1:14" x14ac:dyDescent="0.3">
      <c r="A18" s="32">
        <v>16</v>
      </c>
      <c r="B18" s="32">
        <v>15643966</v>
      </c>
      <c r="C18" s="32" t="s">
        <v>147</v>
      </c>
      <c r="D18" s="32">
        <v>616</v>
      </c>
      <c r="E18" s="32" t="s">
        <v>139</v>
      </c>
      <c r="F18" s="32" t="s">
        <v>136</v>
      </c>
      <c r="G18" s="32">
        <v>45</v>
      </c>
      <c r="H18" s="32">
        <v>3</v>
      </c>
      <c r="I18" s="47">
        <v>143129.41</v>
      </c>
      <c r="J18" s="32">
        <v>2</v>
      </c>
      <c r="K18" s="32">
        <v>0</v>
      </c>
      <c r="L18" s="32">
        <v>1</v>
      </c>
      <c r="M18" s="32">
        <v>64327.26</v>
      </c>
      <c r="N18" s="32">
        <v>0</v>
      </c>
    </row>
    <row r="19" spans="1:14" x14ac:dyDescent="0.3">
      <c r="A19" s="32">
        <v>17</v>
      </c>
      <c r="B19" s="32">
        <v>15737452</v>
      </c>
      <c r="C19" s="32" t="s">
        <v>148</v>
      </c>
      <c r="D19" s="32">
        <v>653</v>
      </c>
      <c r="E19" s="32" t="s">
        <v>139</v>
      </c>
      <c r="F19" s="32" t="s">
        <v>136</v>
      </c>
      <c r="G19" s="32">
        <v>58</v>
      </c>
      <c r="H19" s="32">
        <v>1</v>
      </c>
      <c r="I19" s="47">
        <v>132602.88</v>
      </c>
      <c r="J19" s="32">
        <v>1</v>
      </c>
      <c r="K19" s="32">
        <v>1</v>
      </c>
      <c r="L19" s="32">
        <v>0</v>
      </c>
      <c r="M19" s="32">
        <v>5097.67</v>
      </c>
      <c r="N19" s="32">
        <v>1</v>
      </c>
    </row>
    <row r="20" spans="1:14" x14ac:dyDescent="0.3">
      <c r="A20" s="32">
        <v>18</v>
      </c>
      <c r="B20" s="32">
        <v>15788218</v>
      </c>
      <c r="C20" s="32" t="s">
        <v>149</v>
      </c>
      <c r="D20" s="32">
        <v>549</v>
      </c>
      <c r="E20" s="32" t="s">
        <v>131</v>
      </c>
      <c r="F20" s="32" t="s">
        <v>129</v>
      </c>
      <c r="G20" s="32">
        <v>24</v>
      </c>
      <c r="H20" s="32">
        <v>9</v>
      </c>
      <c r="I20" s="47">
        <v>0</v>
      </c>
      <c r="J20" s="32">
        <v>2</v>
      </c>
      <c r="K20" s="32">
        <v>1</v>
      </c>
      <c r="L20" s="32">
        <v>1</v>
      </c>
      <c r="M20" s="32">
        <v>14406.41</v>
      </c>
      <c r="N20" s="32">
        <v>0</v>
      </c>
    </row>
    <row r="21" spans="1:14" x14ac:dyDescent="0.3">
      <c r="A21" s="32">
        <v>19</v>
      </c>
      <c r="B21" s="32">
        <v>15661507</v>
      </c>
      <c r="C21" s="32" t="s">
        <v>150</v>
      </c>
      <c r="D21" s="32">
        <v>587</v>
      </c>
      <c r="E21" s="32" t="s">
        <v>131</v>
      </c>
      <c r="F21" s="32" t="s">
        <v>136</v>
      </c>
      <c r="G21" s="32">
        <v>45</v>
      </c>
      <c r="H21" s="32">
        <v>6</v>
      </c>
      <c r="I21" s="47">
        <v>0</v>
      </c>
      <c r="J21" s="32">
        <v>1</v>
      </c>
      <c r="K21" s="32">
        <v>0</v>
      </c>
      <c r="L21" s="32">
        <v>0</v>
      </c>
      <c r="M21" s="32">
        <v>158684.81</v>
      </c>
      <c r="N21" s="32">
        <v>0</v>
      </c>
    </row>
    <row r="22" spans="1:14" x14ac:dyDescent="0.3">
      <c r="A22" s="32">
        <v>20</v>
      </c>
      <c r="B22" s="32">
        <v>15568982</v>
      </c>
      <c r="C22" s="32" t="s">
        <v>151</v>
      </c>
      <c r="D22" s="32">
        <v>726</v>
      </c>
      <c r="E22" s="32" t="s">
        <v>128</v>
      </c>
      <c r="F22" s="32" t="s">
        <v>129</v>
      </c>
      <c r="G22" s="32">
        <v>24</v>
      </c>
      <c r="H22" s="32">
        <v>6</v>
      </c>
      <c r="I22" s="47">
        <v>0</v>
      </c>
      <c r="J22" s="32">
        <v>2</v>
      </c>
      <c r="K22" s="32">
        <v>1</v>
      </c>
      <c r="L22" s="32">
        <v>1</v>
      </c>
      <c r="M22" s="32">
        <v>54724.03</v>
      </c>
      <c r="N22" s="32">
        <v>0</v>
      </c>
    </row>
  </sheetData>
  <conditionalFormatting sqref="I3:I22">
    <cfRule type="cellIs" dxfId="15" priority="11" operator="greaterThan">
      <formula>70000</formula>
    </cfRule>
    <cfRule type="cellIs" dxfId="14" priority="12" operator="greaterThan">
      <formula>70000</formula>
    </cfRule>
  </conditionalFormatting>
  <conditionalFormatting sqref="G3:G22">
    <cfRule type="cellIs" dxfId="13" priority="9" operator="lessThan">
      <formula>25</formula>
    </cfRule>
  </conditionalFormatting>
  <conditionalFormatting sqref="M23:M1048576 M1">
    <cfRule type="colorScale" priority="7">
      <colorScale>
        <cfvo type="num" val="50000"/>
        <cfvo type="num" val="100000"/>
        <color rgb="FFFF0000"/>
        <color theme="9"/>
      </colorScale>
    </cfRule>
  </conditionalFormatting>
  <conditionalFormatting sqref="M3:M22">
    <cfRule type="cellIs" dxfId="12" priority="1" operator="lessThan">
      <formula>50000</formula>
    </cfRule>
    <cfRule type="cellIs" dxfId="11" priority="3" operator="greaterThan">
      <formula>90000</formula>
    </cfRule>
  </conditionalFormatting>
  <conditionalFormatting sqref="M1 M3:M1048576">
    <cfRule type="cellIs" dxfId="10" priority="2" operator="greaterThan">
      <formula>90000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4" id="{4EE20003-50B8-4761-BBF3-EF4C93B6EFF4}">
            <x14:iconSet custom="1">
              <x14:cfvo type="percent">
                <xm:f>0</xm:f>
              </x14:cfvo>
              <x14:cfvo type="num">
                <xm:f>60000</xm:f>
              </x14:cfvo>
              <x14:cfvo type="num" gte="0">
                <xm:f>90000</xm:f>
              </x14:cfvo>
              <x14:cfIcon iconSet="3Arrows" iconId="0"/>
              <x14:cfIcon iconSet="3Arrows" iconId="1"/>
              <x14:cfIcon iconSet="3Arrows" iconId="2"/>
            </x14:iconSet>
          </x14:cfRule>
          <xm:sqref>M3:M22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707B-724B-42D9-8260-D3ABEBC2FCE2}">
  <dimension ref="A3:N23"/>
  <sheetViews>
    <sheetView workbookViewId="0">
      <selection activeCell="P6" sqref="P6"/>
    </sheetView>
  </sheetViews>
  <sheetFormatPr defaultRowHeight="14.4" x14ac:dyDescent="0.3"/>
  <cols>
    <col min="1" max="1" width="11.5546875" bestFit="1" customWidth="1"/>
    <col min="2" max="2" width="10.77734375" bestFit="1" customWidth="1"/>
    <col min="3" max="3" width="9.77734375" bestFit="1" customWidth="1"/>
    <col min="4" max="4" width="10.6640625" bestFit="1" customWidth="1"/>
    <col min="5" max="5" width="10.21875" bestFit="1" customWidth="1"/>
    <col min="6" max="6" width="7.109375" bestFit="1" customWidth="1"/>
    <col min="7" max="7" width="4.21875" bestFit="1" customWidth="1"/>
    <col min="8" max="8" width="6.88671875" bestFit="1" customWidth="1"/>
    <col min="9" max="9" width="11" bestFit="1" customWidth="1"/>
    <col min="10" max="10" width="14.6640625" bestFit="1" customWidth="1"/>
    <col min="11" max="11" width="9.6640625" bestFit="1" customWidth="1"/>
    <col min="12" max="12" width="14.88671875" bestFit="1" customWidth="1"/>
    <col min="13" max="13" width="14.5546875" bestFit="1" customWidth="1"/>
    <col min="14" max="14" width="6.109375" bestFit="1" customWidth="1"/>
  </cols>
  <sheetData>
    <row r="3" spans="1:14" x14ac:dyDescent="0.3">
      <c r="A3" s="45" t="s">
        <v>115</v>
      </c>
      <c r="B3" s="45" t="s">
        <v>116</v>
      </c>
      <c r="C3" s="45" t="s">
        <v>117</v>
      </c>
      <c r="D3" s="45" t="s">
        <v>118</v>
      </c>
      <c r="E3" s="45" t="s">
        <v>119</v>
      </c>
      <c r="F3" s="45" t="s">
        <v>94</v>
      </c>
      <c r="G3" s="45" t="s">
        <v>88</v>
      </c>
      <c r="H3" s="45" t="s">
        <v>120</v>
      </c>
      <c r="I3" s="45" t="s">
        <v>121</v>
      </c>
      <c r="J3" s="45" t="s">
        <v>122</v>
      </c>
      <c r="K3" s="45" t="s">
        <v>123</v>
      </c>
      <c r="L3" s="45" t="s">
        <v>124</v>
      </c>
      <c r="M3" s="45" t="s">
        <v>125</v>
      </c>
      <c r="N3" s="45" t="s">
        <v>126</v>
      </c>
    </row>
    <row r="4" spans="1:14" x14ac:dyDescent="0.3">
      <c r="A4" s="32">
        <v>1</v>
      </c>
      <c r="B4" s="32">
        <v>15634602</v>
      </c>
      <c r="C4" s="32" t="s">
        <v>127</v>
      </c>
      <c r="D4" s="32">
        <v>619</v>
      </c>
      <c r="E4" s="32" t="s">
        <v>128</v>
      </c>
      <c r="F4" s="32" t="s">
        <v>129</v>
      </c>
      <c r="G4" s="32">
        <v>42</v>
      </c>
      <c r="H4" s="32">
        <v>2</v>
      </c>
      <c r="I4" s="47">
        <v>0</v>
      </c>
      <c r="J4" s="32">
        <v>1</v>
      </c>
      <c r="K4" s="32">
        <v>1</v>
      </c>
      <c r="L4" s="32">
        <v>1</v>
      </c>
      <c r="M4" s="32">
        <v>101348.88</v>
      </c>
      <c r="N4" s="32">
        <v>1</v>
      </c>
    </row>
    <row r="5" spans="1:14" x14ac:dyDescent="0.3">
      <c r="A5" s="32">
        <v>2</v>
      </c>
      <c r="B5" s="32">
        <v>15647311</v>
      </c>
      <c r="C5" s="32" t="s">
        <v>130</v>
      </c>
      <c r="D5" s="32">
        <v>608</v>
      </c>
      <c r="E5" s="32" t="s">
        <v>131</v>
      </c>
      <c r="F5" s="32" t="s">
        <v>129</v>
      </c>
      <c r="G5" s="32">
        <v>41</v>
      </c>
      <c r="H5" s="32">
        <v>1</v>
      </c>
      <c r="I5" s="47">
        <v>83807.86</v>
      </c>
      <c r="J5" s="32">
        <v>1</v>
      </c>
      <c r="K5" s="32">
        <v>0</v>
      </c>
      <c r="L5" s="32">
        <v>1</v>
      </c>
      <c r="M5" s="32">
        <v>112542.58</v>
      </c>
      <c r="N5" s="32">
        <v>0</v>
      </c>
    </row>
    <row r="6" spans="1:14" x14ac:dyDescent="0.3">
      <c r="A6" s="32">
        <v>3</v>
      </c>
      <c r="B6" s="32">
        <v>15619304</v>
      </c>
      <c r="C6" s="32" t="s">
        <v>132</v>
      </c>
      <c r="D6" s="32">
        <v>502</v>
      </c>
      <c r="E6" s="32" t="s">
        <v>128</v>
      </c>
      <c r="F6" s="32" t="s">
        <v>129</v>
      </c>
      <c r="G6" s="32">
        <v>42</v>
      </c>
      <c r="H6" s="32">
        <v>8</v>
      </c>
      <c r="I6" s="47">
        <v>159660.79999999999</v>
      </c>
      <c r="J6" s="32">
        <v>3</v>
      </c>
      <c r="K6" s="32">
        <v>1</v>
      </c>
      <c r="L6" s="32">
        <v>0</v>
      </c>
      <c r="M6" s="32">
        <v>113931.57</v>
      </c>
      <c r="N6" s="32">
        <v>1</v>
      </c>
    </row>
    <row r="7" spans="1:14" x14ac:dyDescent="0.3">
      <c r="A7" s="32">
        <v>4</v>
      </c>
      <c r="B7" s="32">
        <v>15701354</v>
      </c>
      <c r="C7" s="32" t="s">
        <v>133</v>
      </c>
      <c r="D7" s="32">
        <v>699</v>
      </c>
      <c r="E7" s="32" t="s">
        <v>128</v>
      </c>
      <c r="F7" s="32" t="s">
        <v>129</v>
      </c>
      <c r="G7" s="32">
        <v>39</v>
      </c>
      <c r="H7" s="32">
        <v>1</v>
      </c>
      <c r="I7" s="47">
        <v>0</v>
      </c>
      <c r="J7" s="32">
        <v>2</v>
      </c>
      <c r="K7" s="32">
        <v>0</v>
      </c>
      <c r="L7" s="32">
        <v>0</v>
      </c>
      <c r="M7" s="32">
        <v>93826.63</v>
      </c>
      <c r="N7" s="32">
        <v>0</v>
      </c>
    </row>
    <row r="8" spans="1:14" x14ac:dyDescent="0.3">
      <c r="A8" s="32">
        <v>5</v>
      </c>
      <c r="B8" s="32">
        <v>15737888</v>
      </c>
      <c r="C8" s="32" t="s">
        <v>134</v>
      </c>
      <c r="D8" s="32">
        <v>850</v>
      </c>
      <c r="E8" s="32" t="s">
        <v>131</v>
      </c>
      <c r="F8" s="32" t="s">
        <v>129</v>
      </c>
      <c r="G8" s="32">
        <v>43</v>
      </c>
      <c r="H8" s="32">
        <v>2</v>
      </c>
      <c r="I8" s="47">
        <v>125510.82</v>
      </c>
      <c r="J8" s="32">
        <v>1</v>
      </c>
      <c r="K8" s="32">
        <v>1</v>
      </c>
      <c r="L8" s="32">
        <v>1</v>
      </c>
      <c r="M8" s="32">
        <v>79084.100000000006</v>
      </c>
      <c r="N8" s="32">
        <v>0</v>
      </c>
    </row>
    <row r="9" spans="1:14" x14ac:dyDescent="0.3">
      <c r="A9" s="32">
        <v>6</v>
      </c>
      <c r="B9" s="32">
        <v>15574012</v>
      </c>
      <c r="C9" s="32" t="s">
        <v>135</v>
      </c>
      <c r="D9" s="32">
        <v>645</v>
      </c>
      <c r="E9" s="32" t="s">
        <v>131</v>
      </c>
      <c r="F9" s="32" t="s">
        <v>136</v>
      </c>
      <c r="G9" s="32">
        <v>44</v>
      </c>
      <c r="H9" s="32">
        <v>8</v>
      </c>
      <c r="I9" s="47">
        <v>113755.78</v>
      </c>
      <c r="J9" s="32">
        <v>2</v>
      </c>
      <c r="K9" s="32">
        <v>1</v>
      </c>
      <c r="L9" s="32">
        <v>0</v>
      </c>
      <c r="M9" s="32">
        <v>149756.71</v>
      </c>
      <c r="N9" s="32">
        <v>1</v>
      </c>
    </row>
    <row r="10" spans="1:14" x14ac:dyDescent="0.3">
      <c r="A10" s="32">
        <v>7</v>
      </c>
      <c r="B10" s="32">
        <v>15592531</v>
      </c>
      <c r="C10" s="32" t="s">
        <v>137</v>
      </c>
      <c r="D10" s="32">
        <v>822</v>
      </c>
      <c r="E10" s="32" t="s">
        <v>128</v>
      </c>
      <c r="F10" s="32" t="s">
        <v>136</v>
      </c>
      <c r="G10" s="32">
        <v>50</v>
      </c>
      <c r="H10" s="32">
        <v>7</v>
      </c>
      <c r="I10" s="47">
        <v>0</v>
      </c>
      <c r="J10" s="32">
        <v>2</v>
      </c>
      <c r="K10" s="32">
        <v>1</v>
      </c>
      <c r="L10" s="32">
        <v>1</v>
      </c>
      <c r="M10" s="32">
        <v>10062.799999999999</v>
      </c>
      <c r="N10" s="32">
        <v>0</v>
      </c>
    </row>
    <row r="11" spans="1:14" x14ac:dyDescent="0.3">
      <c r="A11" s="32">
        <v>8</v>
      </c>
      <c r="B11" s="32">
        <v>15656148</v>
      </c>
      <c r="C11" s="32" t="s">
        <v>138</v>
      </c>
      <c r="D11" s="32">
        <v>376</v>
      </c>
      <c r="E11" s="32" t="s">
        <v>139</v>
      </c>
      <c r="F11" s="32" t="s">
        <v>129</v>
      </c>
      <c r="G11" s="32">
        <v>29</v>
      </c>
      <c r="H11" s="32">
        <v>4</v>
      </c>
      <c r="I11" s="47">
        <v>115046.74</v>
      </c>
      <c r="J11" s="32">
        <v>4</v>
      </c>
      <c r="K11" s="32">
        <v>1</v>
      </c>
      <c r="L11" s="32">
        <v>0</v>
      </c>
      <c r="M11" s="32">
        <v>119346.88</v>
      </c>
      <c r="N11" s="32">
        <v>1</v>
      </c>
    </row>
    <row r="12" spans="1:14" x14ac:dyDescent="0.3">
      <c r="A12" s="32">
        <v>9</v>
      </c>
      <c r="B12" s="32">
        <v>15792365</v>
      </c>
      <c r="C12" s="32" t="s">
        <v>140</v>
      </c>
      <c r="D12" s="32">
        <v>501</v>
      </c>
      <c r="E12" s="32" t="s">
        <v>128</v>
      </c>
      <c r="F12" s="32" t="s">
        <v>136</v>
      </c>
      <c r="G12" s="32">
        <v>44</v>
      </c>
      <c r="H12" s="32">
        <v>4</v>
      </c>
      <c r="I12" s="47">
        <v>142051.07</v>
      </c>
      <c r="J12" s="32">
        <v>2</v>
      </c>
      <c r="K12" s="32">
        <v>0</v>
      </c>
      <c r="L12" s="32">
        <v>1</v>
      </c>
      <c r="M12" s="32">
        <v>74940.5</v>
      </c>
      <c r="N12" s="32">
        <v>0</v>
      </c>
    </row>
    <row r="13" spans="1:14" x14ac:dyDescent="0.3">
      <c r="A13" s="32">
        <v>10</v>
      </c>
      <c r="B13" s="32">
        <v>15592389</v>
      </c>
      <c r="C13" s="32" t="s">
        <v>141</v>
      </c>
      <c r="D13" s="32">
        <v>684</v>
      </c>
      <c r="E13" s="32" t="s">
        <v>128</v>
      </c>
      <c r="F13" s="32" t="s">
        <v>136</v>
      </c>
      <c r="G13" s="32">
        <v>27</v>
      </c>
      <c r="H13" s="32">
        <v>2</v>
      </c>
      <c r="I13" s="47">
        <v>134603.88</v>
      </c>
      <c r="J13" s="32">
        <v>1</v>
      </c>
      <c r="K13" s="32">
        <v>1</v>
      </c>
      <c r="L13" s="32">
        <v>1</v>
      </c>
      <c r="M13" s="32">
        <v>71725.73</v>
      </c>
      <c r="N13" s="32">
        <v>0</v>
      </c>
    </row>
    <row r="14" spans="1:14" x14ac:dyDescent="0.3">
      <c r="A14" s="32">
        <v>11</v>
      </c>
      <c r="B14" s="32">
        <v>15767821</v>
      </c>
      <c r="C14" s="32" t="s">
        <v>142</v>
      </c>
      <c r="D14" s="32">
        <v>528</v>
      </c>
      <c r="E14" s="32" t="s">
        <v>128</v>
      </c>
      <c r="F14" s="32" t="s">
        <v>136</v>
      </c>
      <c r="G14" s="32">
        <v>31</v>
      </c>
      <c r="H14" s="32">
        <v>6</v>
      </c>
      <c r="I14" s="47">
        <v>102016.72</v>
      </c>
      <c r="J14" s="32">
        <v>2</v>
      </c>
      <c r="K14" s="32">
        <v>0</v>
      </c>
      <c r="L14" s="32">
        <v>0</v>
      </c>
      <c r="M14" s="32">
        <v>80181.119999999995</v>
      </c>
      <c r="N14" s="32">
        <v>0</v>
      </c>
    </row>
    <row r="15" spans="1:14" x14ac:dyDescent="0.3">
      <c r="A15" s="32">
        <v>12</v>
      </c>
      <c r="B15" s="32">
        <v>15737173</v>
      </c>
      <c r="C15" s="32" t="s">
        <v>143</v>
      </c>
      <c r="D15" s="32">
        <v>497</v>
      </c>
      <c r="E15" s="32" t="s">
        <v>131</v>
      </c>
      <c r="F15" s="32" t="s">
        <v>136</v>
      </c>
      <c r="G15" s="32">
        <v>24</v>
      </c>
      <c r="H15" s="32">
        <v>3</v>
      </c>
      <c r="I15" s="47">
        <v>0</v>
      </c>
      <c r="J15" s="32">
        <v>2</v>
      </c>
      <c r="K15" s="32">
        <v>1</v>
      </c>
      <c r="L15" s="32">
        <v>0</v>
      </c>
      <c r="M15" s="32">
        <v>76390.009999999995</v>
      </c>
      <c r="N15" s="32">
        <v>0</v>
      </c>
    </row>
    <row r="16" spans="1:14" x14ac:dyDescent="0.3">
      <c r="A16" s="32">
        <v>13</v>
      </c>
      <c r="B16" s="32">
        <v>15632264</v>
      </c>
      <c r="C16" s="32" t="s">
        <v>144</v>
      </c>
      <c r="D16" s="32">
        <v>476</v>
      </c>
      <c r="E16" s="32" t="s">
        <v>128</v>
      </c>
      <c r="F16" s="32" t="s">
        <v>129</v>
      </c>
      <c r="G16" s="32">
        <v>34</v>
      </c>
      <c r="H16" s="32">
        <v>10</v>
      </c>
      <c r="I16" s="47">
        <v>0</v>
      </c>
      <c r="J16" s="32">
        <v>2</v>
      </c>
      <c r="K16" s="32">
        <v>1</v>
      </c>
      <c r="L16" s="32">
        <v>0</v>
      </c>
      <c r="M16" s="32">
        <v>26260.98</v>
      </c>
      <c r="N16" s="32">
        <v>0</v>
      </c>
    </row>
    <row r="17" spans="1:14" x14ac:dyDescent="0.3">
      <c r="A17" s="32">
        <v>14</v>
      </c>
      <c r="B17" s="32">
        <v>15691483</v>
      </c>
      <c r="C17" s="32" t="s">
        <v>145</v>
      </c>
      <c r="D17" s="32">
        <v>549</v>
      </c>
      <c r="E17" s="32" t="s">
        <v>128</v>
      </c>
      <c r="F17" s="32" t="s">
        <v>129</v>
      </c>
      <c r="G17" s="32">
        <v>25</v>
      </c>
      <c r="H17" s="32">
        <v>5</v>
      </c>
      <c r="I17" s="47">
        <v>0</v>
      </c>
      <c r="J17" s="32">
        <v>2</v>
      </c>
      <c r="K17" s="32">
        <v>0</v>
      </c>
      <c r="L17" s="32">
        <v>0</v>
      </c>
      <c r="M17" s="32">
        <v>190857.79</v>
      </c>
      <c r="N17" s="32">
        <v>0</v>
      </c>
    </row>
    <row r="18" spans="1:14" x14ac:dyDescent="0.3">
      <c r="A18" s="32">
        <v>15</v>
      </c>
      <c r="B18" s="32">
        <v>15600882</v>
      </c>
      <c r="C18" s="32" t="s">
        <v>146</v>
      </c>
      <c r="D18" s="32">
        <v>635</v>
      </c>
      <c r="E18" s="32" t="s">
        <v>131</v>
      </c>
      <c r="F18" s="32" t="s">
        <v>129</v>
      </c>
      <c r="G18" s="32">
        <v>35</v>
      </c>
      <c r="H18" s="32">
        <v>7</v>
      </c>
      <c r="I18" s="47">
        <v>0</v>
      </c>
      <c r="J18" s="32">
        <v>2</v>
      </c>
      <c r="K18" s="32">
        <v>1</v>
      </c>
      <c r="L18" s="32">
        <v>1</v>
      </c>
      <c r="M18" s="32">
        <v>65951.649999999994</v>
      </c>
      <c r="N18" s="32">
        <v>0</v>
      </c>
    </row>
    <row r="19" spans="1:14" x14ac:dyDescent="0.3">
      <c r="A19" s="32">
        <v>16</v>
      </c>
      <c r="B19" s="32">
        <v>15643966</v>
      </c>
      <c r="C19" s="32" t="s">
        <v>147</v>
      </c>
      <c r="D19" s="32">
        <v>616</v>
      </c>
      <c r="E19" s="32" t="s">
        <v>139</v>
      </c>
      <c r="F19" s="32" t="s">
        <v>136</v>
      </c>
      <c r="G19" s="32">
        <v>45</v>
      </c>
      <c r="H19" s="32">
        <v>3</v>
      </c>
      <c r="I19" s="47">
        <v>143129.41</v>
      </c>
      <c r="J19" s="32">
        <v>2</v>
      </c>
      <c r="K19" s="32">
        <v>0</v>
      </c>
      <c r="L19" s="32">
        <v>1</v>
      </c>
      <c r="M19" s="32">
        <v>64327.26</v>
      </c>
      <c r="N19" s="32">
        <v>0</v>
      </c>
    </row>
    <row r="20" spans="1:14" x14ac:dyDescent="0.3">
      <c r="A20" s="32">
        <v>17</v>
      </c>
      <c r="B20" s="32">
        <v>15737452</v>
      </c>
      <c r="C20" s="32" t="s">
        <v>148</v>
      </c>
      <c r="D20" s="32">
        <v>653</v>
      </c>
      <c r="E20" s="32" t="s">
        <v>139</v>
      </c>
      <c r="F20" s="32" t="s">
        <v>136</v>
      </c>
      <c r="G20" s="32">
        <v>58</v>
      </c>
      <c r="H20" s="32">
        <v>1</v>
      </c>
      <c r="I20" s="47">
        <v>132602.88</v>
      </c>
      <c r="J20" s="32">
        <v>1</v>
      </c>
      <c r="K20" s="32">
        <v>1</v>
      </c>
      <c r="L20" s="32">
        <v>0</v>
      </c>
      <c r="M20" s="32">
        <v>5097.67</v>
      </c>
      <c r="N20" s="32">
        <v>1</v>
      </c>
    </row>
    <row r="21" spans="1:14" x14ac:dyDescent="0.3">
      <c r="A21" s="32">
        <v>18</v>
      </c>
      <c r="B21" s="32">
        <v>15788218</v>
      </c>
      <c r="C21" s="32" t="s">
        <v>149</v>
      </c>
      <c r="D21" s="32">
        <v>549</v>
      </c>
      <c r="E21" s="32" t="s">
        <v>131</v>
      </c>
      <c r="F21" s="32" t="s">
        <v>129</v>
      </c>
      <c r="G21" s="32">
        <v>24</v>
      </c>
      <c r="H21" s="32">
        <v>9</v>
      </c>
      <c r="I21" s="47">
        <v>0</v>
      </c>
      <c r="J21" s="32">
        <v>2</v>
      </c>
      <c r="K21" s="32">
        <v>1</v>
      </c>
      <c r="L21" s="32">
        <v>1</v>
      </c>
      <c r="M21" s="32">
        <v>14406.41</v>
      </c>
      <c r="N21" s="32">
        <v>0</v>
      </c>
    </row>
    <row r="22" spans="1:14" x14ac:dyDescent="0.3">
      <c r="A22" s="32">
        <v>19</v>
      </c>
      <c r="B22" s="32">
        <v>15661507</v>
      </c>
      <c r="C22" s="32" t="s">
        <v>150</v>
      </c>
      <c r="D22" s="32">
        <v>587</v>
      </c>
      <c r="E22" s="32" t="s">
        <v>131</v>
      </c>
      <c r="F22" s="32" t="s">
        <v>136</v>
      </c>
      <c r="G22" s="32">
        <v>45</v>
      </c>
      <c r="H22" s="32">
        <v>6</v>
      </c>
      <c r="I22" s="47">
        <v>0</v>
      </c>
      <c r="J22" s="32">
        <v>1</v>
      </c>
      <c r="K22" s="32">
        <v>0</v>
      </c>
      <c r="L22" s="32">
        <v>0</v>
      </c>
      <c r="M22" s="32">
        <v>158684.81</v>
      </c>
      <c r="N22" s="32">
        <v>0</v>
      </c>
    </row>
    <row r="23" spans="1:14" x14ac:dyDescent="0.3">
      <c r="A23" s="32">
        <v>20</v>
      </c>
      <c r="B23" s="32">
        <v>15568982</v>
      </c>
      <c r="C23" s="32" t="s">
        <v>151</v>
      </c>
      <c r="D23" s="32">
        <v>726</v>
      </c>
      <c r="E23" s="32" t="s">
        <v>128</v>
      </c>
      <c r="F23" s="32" t="s">
        <v>129</v>
      </c>
      <c r="G23" s="32">
        <v>24</v>
      </c>
      <c r="H23" s="32">
        <v>6</v>
      </c>
      <c r="I23" s="47">
        <v>0</v>
      </c>
      <c r="J23" s="32">
        <v>2</v>
      </c>
      <c r="K23" s="32">
        <v>1</v>
      </c>
      <c r="L23" s="32">
        <v>1</v>
      </c>
      <c r="M23" s="32">
        <v>54724.03</v>
      </c>
      <c r="N23" s="32">
        <v>0</v>
      </c>
    </row>
  </sheetData>
  <conditionalFormatting sqref="I4:I23">
    <cfRule type="cellIs" dxfId="9" priority="6" operator="greaterThan">
      <formula>70000</formula>
    </cfRule>
    <cfRule type="cellIs" dxfId="8" priority="7" operator="greaterThan">
      <formula>70000</formula>
    </cfRule>
  </conditionalFormatting>
  <conditionalFormatting sqref="G4:G23">
    <cfRule type="cellIs" dxfId="7" priority="5" operator="lessThan">
      <formula>25</formula>
    </cfRule>
  </conditionalFormatting>
  <conditionalFormatting sqref="M4:M23">
    <cfRule type="cellIs" dxfId="6" priority="1" operator="lessThan">
      <formula>50000</formula>
    </cfRule>
    <cfRule type="cellIs" dxfId="5" priority="3" operator="greaterThan">
      <formula>90000</formula>
    </cfRule>
  </conditionalFormatting>
  <conditionalFormatting sqref="M4:M23">
    <cfRule type="cellIs" dxfId="4" priority="2" operator="greaterThan">
      <formula>90000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4" id="{D9E18AB4-8B39-4B1A-B5E2-BE28815FD24E}">
            <x14:iconSet custom="1">
              <x14:cfvo type="percent">
                <xm:f>0</xm:f>
              </x14:cfvo>
              <x14:cfvo type="num">
                <xm:f>60000</xm:f>
              </x14:cfvo>
              <x14:cfvo type="num" gte="0">
                <xm:f>90000</xm:f>
              </x14:cfvo>
              <x14:cfIcon iconSet="3Arrows" iconId="0"/>
              <x14:cfIcon iconSet="3Arrows" iconId="1"/>
              <x14:cfIcon iconSet="3Arrows" iconId="2"/>
            </x14:iconSet>
          </x14:cfRule>
          <xm:sqref>M4:M23</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8AEB-C6EB-4720-9CD9-86AF8C41A748}">
  <dimension ref="A3:D6"/>
  <sheetViews>
    <sheetView workbookViewId="0">
      <selection activeCell="M6" sqref="M6"/>
    </sheetView>
  </sheetViews>
  <sheetFormatPr defaultRowHeight="14.4" x14ac:dyDescent="0.3"/>
  <cols>
    <col min="1" max="1" width="18.21875" bestFit="1" customWidth="1"/>
    <col min="2" max="2" width="12.44140625" bestFit="1" customWidth="1"/>
    <col min="3" max="3" width="8.6640625" bestFit="1" customWidth="1"/>
    <col min="4" max="4" width="5.6640625" bestFit="1" customWidth="1"/>
    <col min="5" max="7" width="12.44140625" bestFit="1" customWidth="1"/>
  </cols>
  <sheetData>
    <row r="3" spans="1:4" x14ac:dyDescent="0.3">
      <c r="A3" s="49" t="s">
        <v>187</v>
      </c>
      <c r="B3" s="49" t="s">
        <v>119</v>
      </c>
    </row>
    <row r="4" spans="1:4" x14ac:dyDescent="0.3">
      <c r="A4" s="49" t="s">
        <v>94</v>
      </c>
      <c r="B4" t="s">
        <v>128</v>
      </c>
      <c r="C4" t="s">
        <v>139</v>
      </c>
      <c r="D4" t="s">
        <v>131</v>
      </c>
    </row>
    <row r="5" spans="1:4" x14ac:dyDescent="0.3">
      <c r="A5" t="s">
        <v>129</v>
      </c>
      <c r="B5" s="3">
        <v>6</v>
      </c>
      <c r="C5" s="3">
        <v>1</v>
      </c>
      <c r="D5" s="3">
        <v>4</v>
      </c>
    </row>
    <row r="6" spans="1:4" x14ac:dyDescent="0.3">
      <c r="A6" t="s">
        <v>136</v>
      </c>
      <c r="B6" s="3">
        <v>4</v>
      </c>
      <c r="C6" s="3">
        <v>2</v>
      </c>
      <c r="D6" s="3">
        <v>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47F32-3BA0-4C24-9E94-2AF600A51875}">
  <dimension ref="A2:T23"/>
  <sheetViews>
    <sheetView workbookViewId="0">
      <selection activeCell="A3" sqref="A3:E23"/>
    </sheetView>
  </sheetViews>
  <sheetFormatPr defaultRowHeight="14.4" x14ac:dyDescent="0.3"/>
  <cols>
    <col min="1" max="1" width="10.6640625" bestFit="1" customWidth="1"/>
    <col min="2" max="2" width="4.21875" bestFit="1" customWidth="1"/>
    <col min="3" max="3" width="6.88671875" bestFit="1" customWidth="1"/>
    <col min="4" max="4" width="11" bestFit="1" customWidth="1"/>
    <col min="5" max="5" width="14.5546875" bestFit="1" customWidth="1"/>
  </cols>
  <sheetData>
    <row r="2" spans="1:20" x14ac:dyDescent="0.3">
      <c r="L2">
        <f>CORREL(A:A,B:B)</f>
        <v>0.35344577436531521</v>
      </c>
    </row>
    <row r="3" spans="1:20" x14ac:dyDescent="0.3">
      <c r="A3" s="45" t="s">
        <v>118</v>
      </c>
      <c r="B3" s="45" t="s">
        <v>88</v>
      </c>
      <c r="C3" s="45" t="s">
        <v>120</v>
      </c>
      <c r="D3" s="45" t="s">
        <v>121</v>
      </c>
      <c r="E3" s="45" t="s">
        <v>125</v>
      </c>
      <c r="T3">
        <f>CORREL(D:D,E:E)</f>
        <v>4.0797520847827465E-2</v>
      </c>
    </row>
    <row r="4" spans="1:20" x14ac:dyDescent="0.3">
      <c r="A4" s="32">
        <v>619</v>
      </c>
      <c r="B4" s="32">
        <v>42</v>
      </c>
      <c r="C4" s="32">
        <v>2</v>
      </c>
      <c r="D4" s="32">
        <v>0</v>
      </c>
      <c r="E4" s="32">
        <v>101348.88</v>
      </c>
    </row>
    <row r="5" spans="1:20" x14ac:dyDescent="0.3">
      <c r="A5" s="32">
        <v>608</v>
      </c>
      <c r="B5" s="32">
        <v>41</v>
      </c>
      <c r="C5" s="32">
        <v>1</v>
      </c>
      <c r="D5" s="32">
        <v>83807.86</v>
      </c>
      <c r="E5" s="32">
        <v>112542.58</v>
      </c>
    </row>
    <row r="6" spans="1:20" x14ac:dyDescent="0.3">
      <c r="A6" s="32">
        <v>502</v>
      </c>
      <c r="B6" s="32">
        <v>42</v>
      </c>
      <c r="C6" s="32">
        <v>8</v>
      </c>
      <c r="D6" s="32">
        <v>159660.79999999999</v>
      </c>
      <c r="E6" s="32">
        <v>113931.57</v>
      </c>
    </row>
    <row r="7" spans="1:20" x14ac:dyDescent="0.3">
      <c r="A7" s="32">
        <v>699</v>
      </c>
      <c r="B7" s="32">
        <v>39</v>
      </c>
      <c r="C7" s="32">
        <v>1</v>
      </c>
      <c r="D7" s="32">
        <v>0</v>
      </c>
      <c r="E7" s="32">
        <v>93826.63</v>
      </c>
    </row>
    <row r="8" spans="1:20" x14ac:dyDescent="0.3">
      <c r="A8" s="32">
        <v>850</v>
      </c>
      <c r="B8" s="32">
        <v>43</v>
      </c>
      <c r="C8" s="32">
        <v>2</v>
      </c>
      <c r="D8" s="32">
        <v>125510.82</v>
      </c>
      <c r="E8" s="32">
        <v>79084.100000000006</v>
      </c>
    </row>
    <row r="9" spans="1:20" x14ac:dyDescent="0.3">
      <c r="A9" s="32">
        <v>645</v>
      </c>
      <c r="B9" s="32">
        <v>44</v>
      </c>
      <c r="C9" s="32">
        <v>8</v>
      </c>
      <c r="D9" s="32">
        <v>113755.78</v>
      </c>
      <c r="E9" s="32">
        <v>149756.71</v>
      </c>
    </row>
    <row r="10" spans="1:20" x14ac:dyDescent="0.3">
      <c r="A10" s="32">
        <v>822</v>
      </c>
      <c r="B10" s="32">
        <v>50</v>
      </c>
      <c r="C10" s="32">
        <v>7</v>
      </c>
      <c r="D10" s="32">
        <v>0</v>
      </c>
      <c r="E10" s="32">
        <v>10062.799999999999</v>
      </c>
    </row>
    <row r="11" spans="1:20" x14ac:dyDescent="0.3">
      <c r="A11" s="32">
        <v>376</v>
      </c>
      <c r="B11" s="32">
        <v>29</v>
      </c>
      <c r="C11" s="32">
        <v>4</v>
      </c>
      <c r="D11" s="32">
        <v>115046.74</v>
      </c>
      <c r="E11" s="32">
        <v>119346.88</v>
      </c>
    </row>
    <row r="12" spans="1:20" x14ac:dyDescent="0.3">
      <c r="A12" s="32">
        <v>501</v>
      </c>
      <c r="B12" s="32">
        <v>44</v>
      </c>
      <c r="C12" s="32">
        <v>4</v>
      </c>
      <c r="D12" s="32">
        <v>142051.07</v>
      </c>
      <c r="E12" s="32">
        <v>74940.5</v>
      </c>
    </row>
    <row r="13" spans="1:20" x14ac:dyDescent="0.3">
      <c r="A13" s="32">
        <v>684</v>
      </c>
      <c r="B13" s="32">
        <v>27</v>
      </c>
      <c r="C13" s="32">
        <v>2</v>
      </c>
      <c r="D13" s="32">
        <v>134603.88</v>
      </c>
      <c r="E13" s="32">
        <v>71725.73</v>
      </c>
    </row>
    <row r="14" spans="1:20" x14ac:dyDescent="0.3">
      <c r="A14" s="32">
        <v>528</v>
      </c>
      <c r="B14" s="32">
        <v>31</v>
      </c>
      <c r="C14" s="32">
        <v>6</v>
      </c>
      <c r="D14" s="32">
        <v>102016.72</v>
      </c>
      <c r="E14" s="32">
        <v>80181.119999999995</v>
      </c>
      <c r="R14">
        <f>CORREL(B:B,E:E)</f>
        <v>-0.13780725645983724</v>
      </c>
    </row>
    <row r="15" spans="1:20" x14ac:dyDescent="0.3">
      <c r="A15" s="32">
        <v>497</v>
      </c>
      <c r="B15" s="32">
        <v>24</v>
      </c>
      <c r="C15" s="32">
        <v>3</v>
      </c>
      <c r="D15" s="32">
        <v>0</v>
      </c>
      <c r="E15" s="32">
        <v>76390.009999999995</v>
      </c>
    </row>
    <row r="16" spans="1:20" x14ac:dyDescent="0.3">
      <c r="A16" s="32">
        <v>476</v>
      </c>
      <c r="B16" s="32">
        <v>34</v>
      </c>
      <c r="C16" s="32">
        <v>10</v>
      </c>
      <c r="D16" s="32">
        <v>0</v>
      </c>
      <c r="E16" s="32">
        <v>26260.98</v>
      </c>
    </row>
    <row r="17" spans="1:11" x14ac:dyDescent="0.3">
      <c r="A17" s="32">
        <v>549</v>
      </c>
      <c r="B17" s="32">
        <v>25</v>
      </c>
      <c r="C17" s="32">
        <v>5</v>
      </c>
      <c r="D17" s="32">
        <v>0</v>
      </c>
      <c r="E17" s="32">
        <v>190857.79</v>
      </c>
      <c r="K17">
        <f>CORREL(C:C,D:D)</f>
        <v>-0.26735493464868421</v>
      </c>
    </row>
    <row r="18" spans="1:11" x14ac:dyDescent="0.3">
      <c r="A18" s="32">
        <v>635</v>
      </c>
      <c r="B18" s="32">
        <v>35</v>
      </c>
      <c r="C18" s="32">
        <v>7</v>
      </c>
      <c r="D18" s="32">
        <v>0</v>
      </c>
      <c r="E18" s="32">
        <v>65951.649999999994</v>
      </c>
    </row>
    <row r="19" spans="1:11" x14ac:dyDescent="0.3">
      <c r="A19" s="32">
        <v>616</v>
      </c>
      <c r="B19" s="32">
        <v>45</v>
      </c>
      <c r="C19" s="32">
        <v>3</v>
      </c>
      <c r="D19" s="32">
        <v>143129.41</v>
      </c>
      <c r="E19" s="32">
        <v>64327.26</v>
      </c>
    </row>
    <row r="20" spans="1:11" x14ac:dyDescent="0.3">
      <c r="A20" s="32">
        <v>653</v>
      </c>
      <c r="B20" s="32">
        <v>58</v>
      </c>
      <c r="C20" s="32">
        <v>1</v>
      </c>
      <c r="D20" s="32">
        <v>132602.88</v>
      </c>
      <c r="E20" s="32">
        <v>5097.67</v>
      </c>
    </row>
    <row r="21" spans="1:11" x14ac:dyDescent="0.3">
      <c r="A21" s="32">
        <v>549</v>
      </c>
      <c r="B21" s="32">
        <v>24</v>
      </c>
      <c r="C21" s="32">
        <v>9</v>
      </c>
      <c r="D21" s="32">
        <v>0</v>
      </c>
      <c r="E21" s="32">
        <v>14406.41</v>
      </c>
    </row>
    <row r="22" spans="1:11" x14ac:dyDescent="0.3">
      <c r="A22" s="32">
        <v>587</v>
      </c>
      <c r="B22" s="32">
        <v>45</v>
      </c>
      <c r="C22" s="32">
        <v>6</v>
      </c>
      <c r="D22" s="32">
        <v>0</v>
      </c>
      <c r="E22" s="32">
        <v>158684.81</v>
      </c>
    </row>
    <row r="23" spans="1:11" x14ac:dyDescent="0.3">
      <c r="A23" s="32">
        <v>726</v>
      </c>
      <c r="B23" s="32">
        <v>24</v>
      </c>
      <c r="C23" s="32">
        <v>6</v>
      </c>
      <c r="D23" s="32">
        <v>0</v>
      </c>
      <c r="E23" s="32">
        <v>54724.03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3F53-C75F-4AAA-9BC9-69B859A3905C}">
  <dimension ref="A2:U24"/>
  <sheetViews>
    <sheetView tabSelected="1" topLeftCell="B16" workbookViewId="0">
      <selection activeCell="I31" sqref="I31"/>
    </sheetView>
  </sheetViews>
  <sheetFormatPr defaultRowHeight="14.4" x14ac:dyDescent="0.3"/>
  <cols>
    <col min="1" max="1" width="10.6640625" bestFit="1" customWidth="1"/>
    <col min="2" max="2" width="4.21875" bestFit="1" customWidth="1"/>
    <col min="3" max="3" width="6.88671875" bestFit="1" customWidth="1"/>
    <col min="5" max="5" width="14.5546875" bestFit="1" customWidth="1"/>
    <col min="8" max="8" width="14.77734375" bestFit="1" customWidth="1"/>
    <col min="9" max="9" width="14.5546875" customWidth="1"/>
    <col min="10" max="10" width="8" bestFit="1" customWidth="1"/>
    <col min="11" max="11" width="10.5546875" customWidth="1"/>
    <col min="12" max="12" width="16.5546875" bestFit="1" customWidth="1"/>
    <col min="13" max="15" width="12.6640625" bestFit="1" customWidth="1"/>
    <col min="16" max="16" width="12" bestFit="1" customWidth="1"/>
    <col min="17" max="17" width="14.77734375" bestFit="1" customWidth="1"/>
  </cols>
  <sheetData>
    <row r="2" spans="1:21" x14ac:dyDescent="0.3">
      <c r="A2" s="45" t="s">
        <v>118</v>
      </c>
      <c r="B2" s="45" t="s">
        <v>88</v>
      </c>
      <c r="C2" s="45" t="s">
        <v>120</v>
      </c>
      <c r="D2" s="45" t="s">
        <v>121</v>
      </c>
      <c r="E2" s="45" t="s">
        <v>125</v>
      </c>
      <c r="G2" s="52" t="s">
        <v>201</v>
      </c>
      <c r="H2" s="52" t="s">
        <v>125</v>
      </c>
      <c r="I2" s="52" t="s">
        <v>202</v>
      </c>
      <c r="J2" s="52" t="s">
        <v>203</v>
      </c>
      <c r="K2" s="55"/>
    </row>
    <row r="3" spans="1:21" x14ac:dyDescent="0.3">
      <c r="A3" s="32">
        <v>619</v>
      </c>
      <c r="B3" s="32">
        <v>42</v>
      </c>
      <c r="C3" s="32">
        <v>2</v>
      </c>
      <c r="D3" s="32">
        <v>0</v>
      </c>
      <c r="E3" s="32">
        <v>101348.88</v>
      </c>
      <c r="G3" s="51">
        <v>14</v>
      </c>
      <c r="H3" s="56">
        <v>190857.79</v>
      </c>
      <c r="I3" s="51">
        <v>1</v>
      </c>
      <c r="J3" s="57">
        <v>1</v>
      </c>
      <c r="K3" s="54"/>
      <c r="L3" s="52"/>
      <c r="M3" s="52" t="s">
        <v>118</v>
      </c>
      <c r="N3" s="52" t="s">
        <v>88</v>
      </c>
      <c r="O3" s="52" t="s">
        <v>120</v>
      </c>
      <c r="P3" s="52" t="s">
        <v>121</v>
      </c>
      <c r="Q3" s="52" t="s">
        <v>125</v>
      </c>
    </row>
    <row r="4" spans="1:21" x14ac:dyDescent="0.3">
      <c r="A4" s="32">
        <v>608</v>
      </c>
      <c r="B4" s="32">
        <v>41</v>
      </c>
      <c r="C4" s="32">
        <v>1</v>
      </c>
      <c r="D4" s="32">
        <v>83807.86</v>
      </c>
      <c r="E4" s="32">
        <v>112542.58</v>
      </c>
      <c r="G4" s="51">
        <v>19</v>
      </c>
      <c r="H4" s="56">
        <v>158684.81</v>
      </c>
      <c r="I4" s="51">
        <v>2</v>
      </c>
      <c r="J4" s="57">
        <v>0.94699999999999995</v>
      </c>
      <c r="K4" s="54"/>
      <c r="L4" s="53" t="s">
        <v>118</v>
      </c>
      <c r="M4" s="51">
        <v>1</v>
      </c>
      <c r="N4" s="51"/>
      <c r="O4" s="51"/>
      <c r="P4" s="51"/>
      <c r="Q4" s="51"/>
    </row>
    <row r="5" spans="1:21" x14ac:dyDescent="0.3">
      <c r="A5" s="32">
        <v>502</v>
      </c>
      <c r="B5" s="32">
        <v>42</v>
      </c>
      <c r="C5" s="32">
        <v>8</v>
      </c>
      <c r="D5" s="32">
        <v>159660.79999999999</v>
      </c>
      <c r="E5" s="32">
        <v>113931.57</v>
      </c>
      <c r="G5" s="51">
        <v>6</v>
      </c>
      <c r="H5" s="56">
        <v>149756.71</v>
      </c>
      <c r="I5" s="51">
        <v>3</v>
      </c>
      <c r="J5" s="57">
        <v>0.89400000000000002</v>
      </c>
      <c r="K5" s="54"/>
      <c r="L5" s="53" t="s">
        <v>88</v>
      </c>
      <c r="M5" s="51">
        <v>0.35344577436531521</v>
      </c>
      <c r="N5" s="51">
        <v>1</v>
      </c>
      <c r="O5" s="51"/>
      <c r="P5" s="51"/>
      <c r="Q5" s="51"/>
    </row>
    <row r="6" spans="1:21" x14ac:dyDescent="0.3">
      <c r="A6" s="32">
        <v>699</v>
      </c>
      <c r="B6" s="32">
        <v>39</v>
      </c>
      <c r="C6" s="32">
        <v>1</v>
      </c>
      <c r="D6" s="32">
        <v>0</v>
      </c>
      <c r="E6" s="32">
        <v>93826.63</v>
      </c>
      <c r="G6" s="51">
        <v>8</v>
      </c>
      <c r="H6" s="56">
        <v>119346.88</v>
      </c>
      <c r="I6" s="51">
        <v>4</v>
      </c>
      <c r="J6" s="57">
        <v>0.84199999999999997</v>
      </c>
      <c r="K6" s="54"/>
      <c r="L6" s="53" t="s">
        <v>120</v>
      </c>
      <c r="M6" s="51">
        <v>-0.25463597151181161</v>
      </c>
      <c r="N6" s="51">
        <v>-0.22499271110768673</v>
      </c>
      <c r="O6" s="51">
        <v>1</v>
      </c>
      <c r="P6" s="51"/>
      <c r="Q6" s="51"/>
    </row>
    <row r="7" spans="1:21" x14ac:dyDescent="0.3">
      <c r="A7" s="32">
        <v>850</v>
      </c>
      <c r="B7" s="32">
        <v>43</v>
      </c>
      <c r="C7" s="32">
        <v>2</v>
      </c>
      <c r="D7" s="32">
        <v>125510.82</v>
      </c>
      <c r="E7" s="32">
        <v>79084.100000000006</v>
      </c>
      <c r="G7" s="51">
        <v>3</v>
      </c>
      <c r="H7" s="56">
        <v>113931.57</v>
      </c>
      <c r="I7" s="51">
        <v>5</v>
      </c>
      <c r="J7" s="57">
        <v>0.78900000000000003</v>
      </c>
      <c r="K7" s="54"/>
      <c r="L7" s="53" t="s">
        <v>121</v>
      </c>
      <c r="M7" s="51">
        <v>-8.691966482573811E-2</v>
      </c>
      <c r="N7" s="51">
        <v>0.35608796989124958</v>
      </c>
      <c r="O7" s="51">
        <v>-0.26735493464868421</v>
      </c>
      <c r="P7" s="51">
        <v>1</v>
      </c>
      <c r="Q7" s="51"/>
    </row>
    <row r="8" spans="1:21" x14ac:dyDescent="0.3">
      <c r="A8" s="32">
        <v>645</v>
      </c>
      <c r="B8" s="32">
        <v>44</v>
      </c>
      <c r="C8" s="32">
        <v>8</v>
      </c>
      <c r="D8" s="32">
        <v>113755.78</v>
      </c>
      <c r="E8" s="32">
        <v>149756.71</v>
      </c>
      <c r="G8" s="51">
        <v>2</v>
      </c>
      <c r="H8" s="56">
        <v>112542.58</v>
      </c>
      <c r="I8" s="51">
        <v>6</v>
      </c>
      <c r="J8" s="57">
        <v>0.73599999999999999</v>
      </c>
      <c r="K8" s="54"/>
      <c r="L8" s="53" t="s">
        <v>125</v>
      </c>
      <c r="M8" s="51">
        <v>-0.25198785577503724</v>
      </c>
      <c r="N8" s="51">
        <v>-0.13780725645983724</v>
      </c>
      <c r="O8" s="51">
        <v>-8.8547287607189579E-2</v>
      </c>
      <c r="P8" s="51">
        <v>4.0797520847827465E-2</v>
      </c>
      <c r="Q8" s="51">
        <v>1</v>
      </c>
    </row>
    <row r="9" spans="1:21" x14ac:dyDescent="0.3">
      <c r="A9" s="32">
        <v>822</v>
      </c>
      <c r="B9" s="32">
        <v>50</v>
      </c>
      <c r="C9" s="32">
        <v>7</v>
      </c>
      <c r="D9" s="32">
        <v>0</v>
      </c>
      <c r="E9" s="32">
        <v>10062.799999999999</v>
      </c>
      <c r="G9" s="51">
        <v>1</v>
      </c>
      <c r="H9" s="56">
        <v>101348.88</v>
      </c>
      <c r="I9" s="51">
        <v>7</v>
      </c>
      <c r="J9" s="57">
        <v>0.68400000000000005</v>
      </c>
      <c r="K9" s="54"/>
    </row>
    <row r="10" spans="1:21" x14ac:dyDescent="0.3">
      <c r="A10" s="32">
        <v>376</v>
      </c>
      <c r="B10" s="32">
        <v>29</v>
      </c>
      <c r="C10" s="32">
        <v>4</v>
      </c>
      <c r="D10" s="32">
        <v>115046.74</v>
      </c>
      <c r="E10" s="32">
        <v>119346.88</v>
      </c>
      <c r="G10" s="51">
        <v>4</v>
      </c>
      <c r="H10" s="56">
        <v>93826.63</v>
      </c>
      <c r="I10" s="51">
        <v>8</v>
      </c>
      <c r="J10" s="57">
        <v>0.63100000000000001</v>
      </c>
      <c r="K10" s="54"/>
      <c r="L10" s="52" t="s">
        <v>118</v>
      </c>
      <c r="M10" s="50"/>
      <c r="N10" s="52" t="s">
        <v>88</v>
      </c>
      <c r="O10" s="50"/>
      <c r="P10" s="52" t="s">
        <v>120</v>
      </c>
      <c r="Q10" s="50"/>
      <c r="R10" s="52" t="s">
        <v>121</v>
      </c>
      <c r="S10" s="50"/>
      <c r="T10" s="52" t="s">
        <v>125</v>
      </c>
      <c r="U10" s="50"/>
    </row>
    <row r="11" spans="1:21" x14ac:dyDescent="0.3">
      <c r="A11" s="32">
        <v>501</v>
      </c>
      <c r="B11" s="32">
        <v>44</v>
      </c>
      <c r="C11" s="32">
        <v>4</v>
      </c>
      <c r="D11" s="32">
        <v>142051.07</v>
      </c>
      <c r="E11" s="32">
        <v>74940.5</v>
      </c>
      <c r="G11" s="51">
        <v>11</v>
      </c>
      <c r="H11" s="56">
        <v>80181.119999999995</v>
      </c>
      <c r="I11" s="51">
        <v>9</v>
      </c>
      <c r="J11" s="57">
        <v>0.57799999999999996</v>
      </c>
      <c r="K11" s="54"/>
      <c r="L11" s="53"/>
      <c r="M11" s="51"/>
      <c r="N11" s="53"/>
      <c r="O11" s="51"/>
      <c r="P11" s="53"/>
      <c r="Q11" s="51"/>
      <c r="R11" s="53"/>
      <c r="S11" s="51"/>
      <c r="T11" s="53"/>
      <c r="U11" s="51"/>
    </row>
    <row r="12" spans="1:21" x14ac:dyDescent="0.3">
      <c r="A12" s="32">
        <v>684</v>
      </c>
      <c r="B12" s="32">
        <v>27</v>
      </c>
      <c r="C12" s="32">
        <v>2</v>
      </c>
      <c r="D12" s="32">
        <v>134603.88</v>
      </c>
      <c r="E12" s="32">
        <v>71725.73</v>
      </c>
      <c r="G12" s="51">
        <v>5</v>
      </c>
      <c r="H12" s="56">
        <v>79084.100000000006</v>
      </c>
      <c r="I12" s="51">
        <v>10</v>
      </c>
      <c r="J12" s="57">
        <v>0.52600000000000002</v>
      </c>
      <c r="K12" s="54"/>
      <c r="L12" s="53" t="s">
        <v>188</v>
      </c>
      <c r="M12" s="51">
        <v>606.1</v>
      </c>
      <c r="N12" s="53" t="s">
        <v>188</v>
      </c>
      <c r="O12" s="51">
        <v>37.299999999999997</v>
      </c>
      <c r="P12" s="53" t="s">
        <v>188</v>
      </c>
      <c r="Q12" s="51">
        <v>4.75</v>
      </c>
      <c r="R12" s="53" t="s">
        <v>188</v>
      </c>
      <c r="S12" s="51">
        <v>62609.297999999995</v>
      </c>
      <c r="T12" s="53" t="s">
        <v>188</v>
      </c>
      <c r="U12" s="51">
        <v>83172.405499999993</v>
      </c>
    </row>
    <row r="13" spans="1:21" x14ac:dyDescent="0.3">
      <c r="A13" s="32">
        <v>528</v>
      </c>
      <c r="B13" s="32">
        <v>31</v>
      </c>
      <c r="C13" s="32">
        <v>6</v>
      </c>
      <c r="D13" s="32">
        <v>102016.72</v>
      </c>
      <c r="E13" s="32">
        <v>80181.119999999995</v>
      </c>
      <c r="G13" s="51">
        <v>12</v>
      </c>
      <c r="H13" s="56">
        <v>76390.009999999995</v>
      </c>
      <c r="I13" s="51">
        <v>11</v>
      </c>
      <c r="J13" s="57">
        <v>0.47299999999999998</v>
      </c>
      <c r="K13" s="54"/>
      <c r="L13" s="53" t="s">
        <v>189</v>
      </c>
      <c r="M13" s="51">
        <v>25.987537499023592</v>
      </c>
      <c r="N13" s="53" t="s">
        <v>189</v>
      </c>
      <c r="O13" s="51">
        <v>2.1789664377502715</v>
      </c>
      <c r="P13" s="53" t="s">
        <v>189</v>
      </c>
      <c r="Q13" s="51">
        <v>0.63608589290904316</v>
      </c>
      <c r="R13" s="53" t="s">
        <v>189</v>
      </c>
      <c r="S13" s="51">
        <v>14763.006245027336</v>
      </c>
      <c r="T13" s="53" t="s">
        <v>189</v>
      </c>
      <c r="U13" s="51">
        <v>11054.025981243032</v>
      </c>
    </row>
    <row r="14" spans="1:21" x14ac:dyDescent="0.3">
      <c r="A14" s="32">
        <v>497</v>
      </c>
      <c r="B14" s="32">
        <v>24</v>
      </c>
      <c r="C14" s="32">
        <v>3</v>
      </c>
      <c r="D14" s="32">
        <v>0</v>
      </c>
      <c r="E14" s="32">
        <v>76390.009999999995</v>
      </c>
      <c r="G14" s="51">
        <v>9</v>
      </c>
      <c r="H14" s="56">
        <v>74940.5</v>
      </c>
      <c r="I14" s="51">
        <v>12</v>
      </c>
      <c r="J14" s="57">
        <v>0.42099999999999999</v>
      </c>
      <c r="K14" s="54"/>
      <c r="L14" s="53" t="s">
        <v>190</v>
      </c>
      <c r="M14" s="51">
        <v>612</v>
      </c>
      <c r="N14" s="53" t="s">
        <v>190</v>
      </c>
      <c r="O14" s="51">
        <v>40</v>
      </c>
      <c r="P14" s="53" t="s">
        <v>190</v>
      </c>
      <c r="Q14" s="51">
        <v>4.5</v>
      </c>
      <c r="R14" s="53" t="s">
        <v>190</v>
      </c>
      <c r="S14" s="51">
        <v>41903.93</v>
      </c>
      <c r="T14" s="53" t="s">
        <v>190</v>
      </c>
      <c r="U14" s="51">
        <v>77737.054999999993</v>
      </c>
    </row>
    <row r="15" spans="1:21" x14ac:dyDescent="0.3">
      <c r="A15" s="32">
        <v>476</v>
      </c>
      <c r="B15" s="32">
        <v>34</v>
      </c>
      <c r="C15" s="32">
        <v>10</v>
      </c>
      <c r="D15" s="32">
        <v>0</v>
      </c>
      <c r="E15" s="32">
        <v>26260.98</v>
      </c>
      <c r="G15" s="51">
        <v>10</v>
      </c>
      <c r="H15" s="56">
        <v>71725.73</v>
      </c>
      <c r="I15" s="51">
        <v>13</v>
      </c>
      <c r="J15" s="57">
        <v>0.36799999999999999</v>
      </c>
      <c r="K15" s="54"/>
      <c r="L15" s="53" t="s">
        <v>191</v>
      </c>
      <c r="M15" s="51">
        <v>549</v>
      </c>
      <c r="N15" s="53" t="s">
        <v>191</v>
      </c>
      <c r="O15" s="51">
        <v>24</v>
      </c>
      <c r="P15" s="53" t="s">
        <v>191</v>
      </c>
      <c r="Q15" s="51">
        <v>2</v>
      </c>
      <c r="R15" s="53" t="s">
        <v>191</v>
      </c>
      <c r="S15" s="51">
        <v>0</v>
      </c>
      <c r="T15" s="53" t="s">
        <v>191</v>
      </c>
      <c r="U15" s="51" t="e">
        <v>#N/A</v>
      </c>
    </row>
    <row r="16" spans="1:21" x14ac:dyDescent="0.3">
      <c r="A16" s="32">
        <v>549</v>
      </c>
      <c r="B16" s="32">
        <v>25</v>
      </c>
      <c r="C16" s="32">
        <v>5</v>
      </c>
      <c r="D16" s="32">
        <v>0</v>
      </c>
      <c r="E16" s="32">
        <v>190857.79</v>
      </c>
      <c r="G16" s="51">
        <v>15</v>
      </c>
      <c r="H16" s="56">
        <v>65951.649999999994</v>
      </c>
      <c r="I16" s="51">
        <v>14</v>
      </c>
      <c r="J16" s="57">
        <v>0.315</v>
      </c>
      <c r="K16" s="54"/>
      <c r="L16" s="53" t="s">
        <v>192</v>
      </c>
      <c r="M16" s="51">
        <v>116.21980083128325</v>
      </c>
      <c r="N16" s="53" t="s">
        <v>192</v>
      </c>
      <c r="O16" s="51">
        <v>9.7446341510003425</v>
      </c>
      <c r="P16" s="53" t="s">
        <v>192</v>
      </c>
      <c r="Q16" s="51">
        <v>2.8446625921465443</v>
      </c>
      <c r="R16" s="53" t="s">
        <v>192</v>
      </c>
      <c r="S16" s="51">
        <v>66022.171032270082</v>
      </c>
      <c r="T16" s="53" t="s">
        <v>192</v>
      </c>
      <c r="U16" s="51">
        <v>49435.107038216469</v>
      </c>
    </row>
    <row r="17" spans="1:21" x14ac:dyDescent="0.3">
      <c r="A17" s="32">
        <v>635</v>
      </c>
      <c r="B17" s="32">
        <v>35</v>
      </c>
      <c r="C17" s="32">
        <v>7</v>
      </c>
      <c r="D17" s="32">
        <v>0</v>
      </c>
      <c r="E17" s="32">
        <v>65951.649999999994</v>
      </c>
      <c r="G17" s="51">
        <v>16</v>
      </c>
      <c r="H17" s="56">
        <v>64327.26</v>
      </c>
      <c r="I17" s="51">
        <v>15</v>
      </c>
      <c r="J17" s="57">
        <v>0.26300000000000001</v>
      </c>
      <c r="K17" s="54"/>
      <c r="L17" s="53" t="s">
        <v>193</v>
      </c>
      <c r="M17" s="51">
        <v>13507.042105263148</v>
      </c>
      <c r="N17" s="53" t="s">
        <v>193</v>
      </c>
      <c r="O17" s="51">
        <v>94.95789473684215</v>
      </c>
      <c r="P17" s="53" t="s">
        <v>193</v>
      </c>
      <c r="Q17" s="51">
        <v>8.0921052631578956</v>
      </c>
      <c r="R17" s="53" t="s">
        <v>193</v>
      </c>
      <c r="S17" s="51">
        <v>4358927067.8143225</v>
      </c>
      <c r="T17" s="53" t="s">
        <v>193</v>
      </c>
      <c r="U17" s="51">
        <v>2443829807.8799195</v>
      </c>
    </row>
    <row r="18" spans="1:21" x14ac:dyDescent="0.3">
      <c r="A18" s="32">
        <v>616</v>
      </c>
      <c r="B18" s="32">
        <v>45</v>
      </c>
      <c r="C18" s="32">
        <v>3</v>
      </c>
      <c r="D18" s="32">
        <v>143129.41</v>
      </c>
      <c r="E18" s="32">
        <v>64327.26</v>
      </c>
      <c r="G18" s="51">
        <v>20</v>
      </c>
      <c r="H18" s="56">
        <v>54724.03</v>
      </c>
      <c r="I18" s="51">
        <v>16</v>
      </c>
      <c r="J18" s="57">
        <v>0.21</v>
      </c>
      <c r="K18" s="54"/>
      <c r="L18" s="53" t="s">
        <v>194</v>
      </c>
      <c r="M18" s="51">
        <v>0.24888394622318399</v>
      </c>
      <c r="N18" s="53" t="s">
        <v>194</v>
      </c>
      <c r="O18" s="51">
        <v>-0.67601349253725562</v>
      </c>
      <c r="P18" s="53" t="s">
        <v>194</v>
      </c>
      <c r="Q18" s="51">
        <v>-1.1652665508003732</v>
      </c>
      <c r="R18" s="53" t="s">
        <v>194</v>
      </c>
      <c r="S18" s="51">
        <v>-1.9888292023220016</v>
      </c>
      <c r="T18" s="53" t="s">
        <v>194</v>
      </c>
      <c r="U18" s="51">
        <v>-3.6466839190222089E-2</v>
      </c>
    </row>
    <row r="19" spans="1:21" x14ac:dyDescent="0.3">
      <c r="A19" s="32">
        <v>653</v>
      </c>
      <c r="B19" s="32">
        <v>58</v>
      </c>
      <c r="C19" s="32">
        <v>1</v>
      </c>
      <c r="D19" s="32">
        <v>132602.88</v>
      </c>
      <c r="E19" s="32">
        <v>5097.67</v>
      </c>
      <c r="G19" s="51">
        <v>13</v>
      </c>
      <c r="H19" s="56">
        <v>26260.98</v>
      </c>
      <c r="I19" s="51">
        <v>17</v>
      </c>
      <c r="J19" s="57">
        <v>0.157</v>
      </c>
      <c r="K19" s="54"/>
      <c r="L19" s="53" t="s">
        <v>195</v>
      </c>
      <c r="M19" s="51">
        <v>0.33273881346264389</v>
      </c>
      <c r="N19" s="53" t="s">
        <v>195</v>
      </c>
      <c r="O19" s="51">
        <v>0.1263769227836459</v>
      </c>
      <c r="P19" s="53" t="s">
        <v>195</v>
      </c>
      <c r="Q19" s="51">
        <v>0.22006696396644282</v>
      </c>
      <c r="R19" s="53" t="s">
        <v>195</v>
      </c>
      <c r="S19" s="51">
        <v>0.16194456693538484</v>
      </c>
      <c r="T19" s="53" t="s">
        <v>195</v>
      </c>
      <c r="U19" s="51">
        <v>0.3243279074528293</v>
      </c>
    </row>
    <row r="20" spans="1:21" x14ac:dyDescent="0.3">
      <c r="A20" s="32">
        <v>549</v>
      </c>
      <c r="B20" s="32">
        <v>24</v>
      </c>
      <c r="C20" s="32">
        <v>9</v>
      </c>
      <c r="D20" s="32">
        <v>0</v>
      </c>
      <c r="E20" s="32">
        <v>14406.41</v>
      </c>
      <c r="G20" s="51">
        <v>18</v>
      </c>
      <c r="H20" s="56">
        <v>14406.41</v>
      </c>
      <c r="I20" s="51">
        <v>18</v>
      </c>
      <c r="J20" s="57">
        <v>0.105</v>
      </c>
      <c r="K20" s="54"/>
      <c r="L20" s="53" t="s">
        <v>196</v>
      </c>
      <c r="M20" s="51">
        <v>474</v>
      </c>
      <c r="N20" s="53" t="s">
        <v>196</v>
      </c>
      <c r="O20" s="51">
        <v>34</v>
      </c>
      <c r="P20" s="53" t="s">
        <v>196</v>
      </c>
      <c r="Q20" s="51">
        <v>9</v>
      </c>
      <c r="R20" s="53" t="s">
        <v>196</v>
      </c>
      <c r="S20" s="51">
        <v>159660.79999999999</v>
      </c>
      <c r="T20" s="53" t="s">
        <v>196</v>
      </c>
      <c r="U20" s="51">
        <v>185760.12</v>
      </c>
    </row>
    <row r="21" spans="1:21" x14ac:dyDescent="0.3">
      <c r="A21" s="32">
        <v>587</v>
      </c>
      <c r="B21" s="32">
        <v>45</v>
      </c>
      <c r="C21" s="32">
        <v>6</v>
      </c>
      <c r="D21" s="32">
        <v>0</v>
      </c>
      <c r="E21" s="32">
        <v>158684.81</v>
      </c>
      <c r="G21" s="51">
        <v>7</v>
      </c>
      <c r="H21" s="56">
        <v>10062.799999999999</v>
      </c>
      <c r="I21" s="51">
        <v>19</v>
      </c>
      <c r="J21" s="57">
        <v>5.1999999999999998E-2</v>
      </c>
      <c r="K21" s="54"/>
      <c r="L21" s="53" t="s">
        <v>197</v>
      </c>
      <c r="M21" s="51">
        <v>376</v>
      </c>
      <c r="N21" s="53" t="s">
        <v>197</v>
      </c>
      <c r="O21" s="51">
        <v>24</v>
      </c>
      <c r="P21" s="53" t="s">
        <v>197</v>
      </c>
      <c r="Q21" s="51">
        <v>1</v>
      </c>
      <c r="R21" s="53" t="s">
        <v>197</v>
      </c>
      <c r="S21" s="51">
        <v>0</v>
      </c>
      <c r="T21" s="53" t="s">
        <v>197</v>
      </c>
      <c r="U21" s="51">
        <v>5097.67</v>
      </c>
    </row>
    <row r="22" spans="1:21" x14ac:dyDescent="0.3">
      <c r="A22" s="32">
        <v>726</v>
      </c>
      <c r="B22" s="32">
        <v>24</v>
      </c>
      <c r="C22" s="32">
        <v>6</v>
      </c>
      <c r="D22" s="32">
        <v>0</v>
      </c>
      <c r="E22" s="32">
        <v>54724.03</v>
      </c>
      <c r="G22" s="51">
        <v>17</v>
      </c>
      <c r="H22" s="56">
        <v>5097.67</v>
      </c>
      <c r="I22" s="51">
        <v>20</v>
      </c>
      <c r="J22" s="57">
        <v>0</v>
      </c>
      <c r="K22" s="54"/>
      <c r="L22" s="53" t="s">
        <v>198</v>
      </c>
      <c r="M22" s="51">
        <v>850</v>
      </c>
      <c r="N22" s="53" t="s">
        <v>198</v>
      </c>
      <c r="O22" s="51">
        <v>58</v>
      </c>
      <c r="P22" s="53" t="s">
        <v>198</v>
      </c>
      <c r="Q22" s="51">
        <v>10</v>
      </c>
      <c r="R22" s="53" t="s">
        <v>198</v>
      </c>
      <c r="S22" s="51">
        <v>159660.79999999999</v>
      </c>
      <c r="T22" s="53" t="s">
        <v>198</v>
      </c>
      <c r="U22" s="51">
        <v>190857.79</v>
      </c>
    </row>
    <row r="23" spans="1:21" x14ac:dyDescent="0.3">
      <c r="L23" s="53" t="s">
        <v>199</v>
      </c>
      <c r="M23" s="51">
        <v>12122</v>
      </c>
      <c r="N23" s="53" t="s">
        <v>199</v>
      </c>
      <c r="O23" s="51">
        <v>746</v>
      </c>
      <c r="P23" s="53" t="s">
        <v>199</v>
      </c>
      <c r="Q23" s="51">
        <v>95</v>
      </c>
      <c r="R23" s="53" t="s">
        <v>199</v>
      </c>
      <c r="S23" s="51">
        <v>1252185.96</v>
      </c>
      <c r="T23" s="53" t="s">
        <v>199</v>
      </c>
      <c r="U23" s="51">
        <v>1663448.1099999999</v>
      </c>
    </row>
    <row r="24" spans="1:21" x14ac:dyDescent="0.3">
      <c r="L24" s="53" t="s">
        <v>200</v>
      </c>
      <c r="M24" s="51">
        <v>20</v>
      </c>
      <c r="N24" s="53" t="s">
        <v>200</v>
      </c>
      <c r="O24" s="51">
        <v>20</v>
      </c>
      <c r="P24" s="53" t="s">
        <v>200</v>
      </c>
      <c r="Q24" s="51">
        <v>20</v>
      </c>
      <c r="R24" s="53" t="s">
        <v>200</v>
      </c>
      <c r="S24" s="51">
        <v>20</v>
      </c>
      <c r="T24" s="53" t="s">
        <v>200</v>
      </c>
      <c r="U24" s="51">
        <v>20</v>
      </c>
    </row>
  </sheetData>
  <sortState xmlns:xlrd2="http://schemas.microsoft.com/office/spreadsheetml/2017/richdata2" ref="G3:J22">
    <sortCondition ref="I4"/>
  </sortState>
  <conditionalFormatting sqref="I34">
    <cfRule type="expression" priority="3">
      <formula>$H$31</formula>
    </cfRule>
  </conditionalFormatting>
  <conditionalFormatting sqref="H31">
    <cfRule type="expression" dxfId="2" priority="2">
      <formula>"ISERROR(H31)"</formula>
    </cfRule>
    <cfRule type="expression" dxfId="1" priority="1">
      <formula>ISERROR(H31)</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7D478-C27A-43D1-BC61-3550DC6CF81E}">
  <dimension ref="A2:N36"/>
  <sheetViews>
    <sheetView topLeftCell="A21" workbookViewId="0">
      <selection activeCell="A2" sqref="A2:N22"/>
    </sheetView>
  </sheetViews>
  <sheetFormatPr defaultRowHeight="14.4" x14ac:dyDescent="0.3"/>
  <cols>
    <col min="1" max="1" width="12.5546875" bestFit="1" customWidth="1"/>
    <col min="2" max="2" width="24.33203125" bestFit="1" customWidth="1"/>
    <col min="3" max="3" width="9.77734375" bestFit="1" customWidth="1"/>
    <col min="4" max="4" width="10.44140625" bestFit="1" customWidth="1"/>
    <col min="5" max="5" width="9.77734375" bestFit="1" customWidth="1"/>
    <col min="6" max="6" width="6.88671875" bestFit="1" customWidth="1"/>
    <col min="7" max="7" width="4" bestFit="1" customWidth="1"/>
    <col min="8" max="8" width="6.6640625" bestFit="1" customWidth="1"/>
    <col min="9" max="9" width="10" bestFit="1" customWidth="1"/>
    <col min="10" max="10" width="14.109375" bestFit="1" customWidth="1"/>
    <col min="11" max="11" width="9.5546875" bestFit="1" customWidth="1"/>
    <col min="12" max="12" width="14.33203125" bestFit="1" customWidth="1"/>
    <col min="13" max="13" width="14.109375" bestFit="1" customWidth="1"/>
    <col min="14" max="14" width="6" bestFit="1" customWidth="1"/>
  </cols>
  <sheetData>
    <row r="2" spans="1:14" x14ac:dyDescent="0.3">
      <c r="A2" s="58" t="s">
        <v>115</v>
      </c>
      <c r="B2" s="58" t="s">
        <v>116</v>
      </c>
      <c r="C2" s="58" t="s">
        <v>117</v>
      </c>
      <c r="D2" s="58" t="s">
        <v>118</v>
      </c>
      <c r="E2" s="58" t="s">
        <v>119</v>
      </c>
      <c r="F2" s="58" t="s">
        <v>94</v>
      </c>
      <c r="G2" s="58" t="s">
        <v>88</v>
      </c>
      <c r="H2" s="58" t="s">
        <v>120</v>
      </c>
      <c r="I2" s="58" t="s">
        <v>121</v>
      </c>
      <c r="J2" s="58" t="s">
        <v>122</v>
      </c>
      <c r="K2" s="58" t="s">
        <v>123</v>
      </c>
      <c r="L2" s="58" t="s">
        <v>124</v>
      </c>
      <c r="M2" s="58" t="s">
        <v>125</v>
      </c>
      <c r="N2" s="58" t="s">
        <v>126</v>
      </c>
    </row>
    <row r="3" spans="1:14" x14ac:dyDescent="0.3">
      <c r="A3" s="13">
        <v>1</v>
      </c>
      <c r="B3" s="32">
        <v>15634602</v>
      </c>
      <c r="C3" s="32" t="s">
        <v>127</v>
      </c>
      <c r="D3" s="13">
        <v>619</v>
      </c>
      <c r="E3" s="13" t="s">
        <v>128</v>
      </c>
      <c r="F3" s="13" t="s">
        <v>129</v>
      </c>
      <c r="G3" s="13">
        <v>42</v>
      </c>
      <c r="H3" s="13">
        <v>2</v>
      </c>
      <c r="I3" s="32">
        <v>0</v>
      </c>
      <c r="J3" s="13">
        <v>1</v>
      </c>
      <c r="K3" s="13">
        <v>1</v>
      </c>
      <c r="L3" s="13">
        <v>1</v>
      </c>
      <c r="M3" s="32">
        <v>101348.88</v>
      </c>
      <c r="N3" s="13">
        <v>1</v>
      </c>
    </row>
    <row r="4" spans="1:14" x14ac:dyDescent="0.3">
      <c r="A4" s="13">
        <v>2</v>
      </c>
      <c r="B4" s="32">
        <v>15647311</v>
      </c>
      <c r="C4" s="32" t="s">
        <v>130</v>
      </c>
      <c r="D4" s="13">
        <v>608</v>
      </c>
      <c r="E4" s="13" t="s">
        <v>131</v>
      </c>
      <c r="F4" s="13" t="s">
        <v>129</v>
      </c>
      <c r="G4" s="13">
        <v>41</v>
      </c>
      <c r="H4" s="13">
        <v>1</v>
      </c>
      <c r="I4" s="32">
        <v>83807.86</v>
      </c>
      <c r="J4" s="13">
        <v>1</v>
      </c>
      <c r="K4" s="13">
        <v>0</v>
      </c>
      <c r="L4" s="13">
        <v>1</v>
      </c>
      <c r="M4" s="32">
        <v>112542.58</v>
      </c>
      <c r="N4" s="13">
        <v>0</v>
      </c>
    </row>
    <row r="5" spans="1:14" x14ac:dyDescent="0.3">
      <c r="A5" s="13">
        <v>3</v>
      </c>
      <c r="B5" s="32">
        <v>15619304</v>
      </c>
      <c r="C5" s="32" t="s">
        <v>132</v>
      </c>
      <c r="D5" s="13">
        <v>502</v>
      </c>
      <c r="E5" s="13" t="s">
        <v>128</v>
      </c>
      <c r="F5" s="13" t="s">
        <v>129</v>
      </c>
      <c r="G5" s="13">
        <v>42</v>
      </c>
      <c r="H5" s="13">
        <v>8</v>
      </c>
      <c r="I5" s="32">
        <v>159660.79999999999</v>
      </c>
      <c r="J5" s="13">
        <v>3</v>
      </c>
      <c r="K5" s="13">
        <v>1</v>
      </c>
      <c r="L5" s="13">
        <v>0</v>
      </c>
      <c r="M5" s="32">
        <v>113931.57</v>
      </c>
      <c r="N5" s="13">
        <v>1</v>
      </c>
    </row>
    <row r="6" spans="1:14" x14ac:dyDescent="0.3">
      <c r="A6" s="13">
        <v>4</v>
      </c>
      <c r="B6" s="32">
        <v>15701354</v>
      </c>
      <c r="C6" s="32" t="s">
        <v>133</v>
      </c>
      <c r="D6" s="13">
        <v>699</v>
      </c>
      <c r="E6" s="13" t="s">
        <v>128</v>
      </c>
      <c r="F6" s="13" t="s">
        <v>129</v>
      </c>
      <c r="G6" s="13">
        <v>39</v>
      </c>
      <c r="H6" s="13">
        <v>1</v>
      </c>
      <c r="I6" s="32">
        <v>0</v>
      </c>
      <c r="J6" s="13">
        <v>2</v>
      </c>
      <c r="K6" s="13">
        <v>0</v>
      </c>
      <c r="L6" s="13">
        <v>0</v>
      </c>
      <c r="M6" s="32">
        <v>93826.63</v>
      </c>
      <c r="N6" s="13">
        <v>0</v>
      </c>
    </row>
    <row r="7" spans="1:14" x14ac:dyDescent="0.3">
      <c r="A7" s="13">
        <v>5</v>
      </c>
      <c r="B7" s="32">
        <v>15737888</v>
      </c>
      <c r="C7" s="32" t="s">
        <v>134</v>
      </c>
      <c r="D7" s="13">
        <v>850</v>
      </c>
      <c r="E7" s="13" t="s">
        <v>131</v>
      </c>
      <c r="F7" s="13" t="s">
        <v>129</v>
      </c>
      <c r="G7" s="13">
        <v>43</v>
      </c>
      <c r="H7" s="13">
        <v>2</v>
      </c>
      <c r="I7" s="32">
        <v>125510.82</v>
      </c>
      <c r="J7" s="13">
        <v>1</v>
      </c>
      <c r="K7" s="13">
        <v>1</v>
      </c>
      <c r="L7" s="13">
        <v>1</v>
      </c>
      <c r="M7" s="32">
        <v>79084.100000000006</v>
      </c>
      <c r="N7" s="13">
        <v>0</v>
      </c>
    </row>
    <row r="8" spans="1:14" x14ac:dyDescent="0.3">
      <c r="A8" s="13">
        <v>6</v>
      </c>
      <c r="B8" s="32">
        <v>15574012</v>
      </c>
      <c r="C8" s="32" t="s">
        <v>135</v>
      </c>
      <c r="D8" s="13">
        <v>645</v>
      </c>
      <c r="E8" s="13" t="s">
        <v>131</v>
      </c>
      <c r="F8" s="13" t="s">
        <v>136</v>
      </c>
      <c r="G8" s="13">
        <v>44</v>
      </c>
      <c r="H8" s="13">
        <v>8</v>
      </c>
      <c r="I8" s="32">
        <v>113755.78</v>
      </c>
      <c r="J8" s="13">
        <v>2</v>
      </c>
      <c r="K8" s="13">
        <v>1</v>
      </c>
      <c r="L8" s="13">
        <v>0</v>
      </c>
      <c r="M8" s="32">
        <v>149756.71</v>
      </c>
      <c r="N8" s="13">
        <v>1</v>
      </c>
    </row>
    <row r="9" spans="1:14" x14ac:dyDescent="0.3">
      <c r="A9" s="13">
        <v>7</v>
      </c>
      <c r="B9" s="32">
        <v>15592531</v>
      </c>
      <c r="C9" s="32" t="s">
        <v>137</v>
      </c>
      <c r="D9" s="13">
        <v>822</v>
      </c>
      <c r="E9" s="13" t="s">
        <v>128</v>
      </c>
      <c r="F9" s="13" t="s">
        <v>136</v>
      </c>
      <c r="G9" s="13">
        <v>50</v>
      </c>
      <c r="H9" s="13">
        <v>7</v>
      </c>
      <c r="I9" s="32">
        <v>0</v>
      </c>
      <c r="J9" s="13">
        <v>2</v>
      </c>
      <c r="K9" s="13">
        <v>1</v>
      </c>
      <c r="L9" s="13">
        <v>1</v>
      </c>
      <c r="M9" s="32">
        <v>10062.799999999999</v>
      </c>
      <c r="N9" s="13">
        <v>0</v>
      </c>
    </row>
    <row r="10" spans="1:14" x14ac:dyDescent="0.3">
      <c r="A10" s="13">
        <v>8</v>
      </c>
      <c r="B10" s="32">
        <v>15656148</v>
      </c>
      <c r="C10" s="32" t="s">
        <v>138</v>
      </c>
      <c r="D10" s="13">
        <v>376</v>
      </c>
      <c r="E10" s="13" t="s">
        <v>139</v>
      </c>
      <c r="F10" s="13" t="s">
        <v>129</v>
      </c>
      <c r="G10" s="13">
        <v>29</v>
      </c>
      <c r="H10" s="13">
        <v>4</v>
      </c>
      <c r="I10" s="32">
        <v>115046.74</v>
      </c>
      <c r="J10" s="13">
        <v>4</v>
      </c>
      <c r="K10" s="13">
        <v>1</v>
      </c>
      <c r="L10" s="13">
        <v>0</v>
      </c>
      <c r="M10" s="32">
        <v>119346.88</v>
      </c>
      <c r="N10" s="13">
        <v>1</v>
      </c>
    </row>
    <row r="11" spans="1:14" x14ac:dyDescent="0.3">
      <c r="A11" s="13">
        <v>9</v>
      </c>
      <c r="B11" s="32">
        <v>15792365</v>
      </c>
      <c r="C11" s="32" t="s">
        <v>140</v>
      </c>
      <c r="D11" s="13">
        <v>501</v>
      </c>
      <c r="E11" s="13" t="s">
        <v>128</v>
      </c>
      <c r="F11" s="13" t="s">
        <v>136</v>
      </c>
      <c r="G11" s="13">
        <v>44</v>
      </c>
      <c r="H11" s="13">
        <v>4</v>
      </c>
      <c r="I11" s="32">
        <v>142051.07</v>
      </c>
      <c r="J11" s="13">
        <v>2</v>
      </c>
      <c r="K11" s="13">
        <v>0</v>
      </c>
      <c r="L11" s="13">
        <v>1</v>
      </c>
      <c r="M11" s="32">
        <v>74940.5</v>
      </c>
      <c r="N11" s="13">
        <v>0</v>
      </c>
    </row>
    <row r="12" spans="1:14" x14ac:dyDescent="0.3">
      <c r="A12" s="13">
        <v>10</v>
      </c>
      <c r="B12" s="32">
        <v>15592389</v>
      </c>
      <c r="C12" s="32" t="s">
        <v>141</v>
      </c>
      <c r="D12" s="13">
        <v>684</v>
      </c>
      <c r="E12" s="13" t="s">
        <v>128</v>
      </c>
      <c r="F12" s="13" t="s">
        <v>136</v>
      </c>
      <c r="G12" s="13">
        <v>27</v>
      </c>
      <c r="H12" s="13">
        <v>2</v>
      </c>
      <c r="I12" s="32">
        <v>134603.88</v>
      </c>
      <c r="J12" s="13">
        <v>1</v>
      </c>
      <c r="K12" s="13">
        <v>1</v>
      </c>
      <c r="L12" s="13">
        <v>1</v>
      </c>
      <c r="M12" s="32">
        <v>71725.73</v>
      </c>
      <c r="N12" s="13">
        <v>0</v>
      </c>
    </row>
    <row r="13" spans="1:14" x14ac:dyDescent="0.3">
      <c r="A13" s="13">
        <v>11</v>
      </c>
      <c r="B13" s="32">
        <v>15767821</v>
      </c>
      <c r="C13" s="32" t="s">
        <v>142</v>
      </c>
      <c r="D13" s="13">
        <v>528</v>
      </c>
      <c r="E13" s="13" t="s">
        <v>128</v>
      </c>
      <c r="F13" s="13" t="s">
        <v>136</v>
      </c>
      <c r="G13" s="13">
        <v>31</v>
      </c>
      <c r="H13" s="13">
        <v>6</v>
      </c>
      <c r="I13" s="32">
        <v>102016.72</v>
      </c>
      <c r="J13" s="13">
        <v>2</v>
      </c>
      <c r="K13" s="13">
        <v>0</v>
      </c>
      <c r="L13" s="13">
        <v>0</v>
      </c>
      <c r="M13" s="32">
        <v>80181.119999999995</v>
      </c>
      <c r="N13" s="13">
        <v>0</v>
      </c>
    </row>
    <row r="14" spans="1:14" x14ac:dyDescent="0.3">
      <c r="A14" s="13">
        <v>12</v>
      </c>
      <c r="B14" s="32">
        <v>15737173</v>
      </c>
      <c r="C14" s="32" t="s">
        <v>143</v>
      </c>
      <c r="D14" s="13">
        <v>497</v>
      </c>
      <c r="E14" s="13" t="s">
        <v>131</v>
      </c>
      <c r="F14" s="13" t="s">
        <v>136</v>
      </c>
      <c r="G14" s="13">
        <v>24</v>
      </c>
      <c r="H14" s="13">
        <v>3</v>
      </c>
      <c r="I14" s="32">
        <v>0</v>
      </c>
      <c r="J14" s="13">
        <v>2</v>
      </c>
      <c r="K14" s="13">
        <v>1</v>
      </c>
      <c r="L14" s="13">
        <v>0</v>
      </c>
      <c r="M14" s="32">
        <v>76390.009999999995</v>
      </c>
      <c r="N14" s="13">
        <v>0</v>
      </c>
    </row>
    <row r="15" spans="1:14" x14ac:dyDescent="0.3">
      <c r="A15" s="13">
        <v>13</v>
      </c>
      <c r="B15" s="32">
        <v>15632264</v>
      </c>
      <c r="C15" s="32" t="s">
        <v>144</v>
      </c>
      <c r="D15" s="13">
        <v>476</v>
      </c>
      <c r="E15" s="13" t="s">
        <v>128</v>
      </c>
      <c r="F15" s="13" t="s">
        <v>129</v>
      </c>
      <c r="G15" s="13">
        <v>34</v>
      </c>
      <c r="H15" s="13">
        <v>10</v>
      </c>
      <c r="I15" s="32">
        <v>0</v>
      </c>
      <c r="J15" s="13">
        <v>2</v>
      </c>
      <c r="K15" s="13">
        <v>1</v>
      </c>
      <c r="L15" s="13">
        <v>0</v>
      </c>
      <c r="M15" s="32">
        <v>26260.98</v>
      </c>
      <c r="N15" s="13">
        <v>0</v>
      </c>
    </row>
    <row r="16" spans="1:14" x14ac:dyDescent="0.3">
      <c r="A16" s="13">
        <v>14</v>
      </c>
      <c r="B16" s="32">
        <v>15691483</v>
      </c>
      <c r="C16" s="32" t="s">
        <v>145</v>
      </c>
      <c r="D16" s="13">
        <v>549</v>
      </c>
      <c r="E16" s="13" t="s">
        <v>128</v>
      </c>
      <c r="F16" s="13" t="s">
        <v>129</v>
      </c>
      <c r="G16" s="13">
        <v>25</v>
      </c>
      <c r="H16" s="13">
        <v>5</v>
      </c>
      <c r="I16" s="32">
        <v>0</v>
      </c>
      <c r="J16" s="13">
        <v>2</v>
      </c>
      <c r="K16" s="13">
        <v>0</v>
      </c>
      <c r="L16" s="13">
        <v>0</v>
      </c>
      <c r="M16" s="32">
        <v>190857.79</v>
      </c>
      <c r="N16" s="13">
        <v>0</v>
      </c>
    </row>
    <row r="17" spans="1:14" x14ac:dyDescent="0.3">
      <c r="A17" s="13">
        <v>15</v>
      </c>
      <c r="B17" s="32">
        <v>15600882</v>
      </c>
      <c r="C17" s="32" t="s">
        <v>146</v>
      </c>
      <c r="D17" s="13">
        <v>635</v>
      </c>
      <c r="E17" s="13" t="s">
        <v>131</v>
      </c>
      <c r="F17" s="13" t="s">
        <v>129</v>
      </c>
      <c r="G17" s="13">
        <v>35</v>
      </c>
      <c r="H17" s="13">
        <v>7</v>
      </c>
      <c r="I17" s="32">
        <v>0</v>
      </c>
      <c r="J17" s="13">
        <v>2</v>
      </c>
      <c r="K17" s="13">
        <v>1</v>
      </c>
      <c r="L17" s="13">
        <v>1</v>
      </c>
      <c r="M17" s="32">
        <v>65951.649999999994</v>
      </c>
      <c r="N17" s="13">
        <v>0</v>
      </c>
    </row>
    <row r="18" spans="1:14" x14ac:dyDescent="0.3">
      <c r="A18" s="13">
        <v>16</v>
      </c>
      <c r="B18" s="32">
        <v>15643966</v>
      </c>
      <c r="C18" s="32" t="s">
        <v>147</v>
      </c>
      <c r="D18" s="13">
        <v>616</v>
      </c>
      <c r="E18" s="13" t="s">
        <v>139</v>
      </c>
      <c r="F18" s="13" t="s">
        <v>136</v>
      </c>
      <c r="G18" s="13">
        <v>45</v>
      </c>
      <c r="H18" s="13">
        <v>3</v>
      </c>
      <c r="I18" s="32">
        <v>143129.41</v>
      </c>
      <c r="J18" s="13">
        <v>2</v>
      </c>
      <c r="K18" s="13">
        <v>0</v>
      </c>
      <c r="L18" s="13">
        <v>1</v>
      </c>
      <c r="M18" s="32">
        <v>64327.26</v>
      </c>
      <c r="N18" s="13">
        <v>0</v>
      </c>
    </row>
    <row r="19" spans="1:14" x14ac:dyDescent="0.3">
      <c r="A19" s="13">
        <v>17</v>
      </c>
      <c r="B19" s="32">
        <v>15737452</v>
      </c>
      <c r="C19" s="32" t="s">
        <v>148</v>
      </c>
      <c r="D19" s="13">
        <v>653</v>
      </c>
      <c r="E19" s="13" t="s">
        <v>139</v>
      </c>
      <c r="F19" s="13" t="s">
        <v>136</v>
      </c>
      <c r="G19" s="13">
        <v>58</v>
      </c>
      <c r="H19" s="13">
        <v>1</v>
      </c>
      <c r="I19" s="32">
        <v>132602.88</v>
      </c>
      <c r="J19" s="13">
        <v>1</v>
      </c>
      <c r="K19" s="13">
        <v>1</v>
      </c>
      <c r="L19" s="13">
        <v>0</v>
      </c>
      <c r="M19" s="32">
        <v>5097.67</v>
      </c>
      <c r="N19" s="13">
        <v>1</v>
      </c>
    </row>
    <row r="20" spans="1:14" x14ac:dyDescent="0.3">
      <c r="A20" s="13">
        <v>18</v>
      </c>
      <c r="B20" s="32">
        <v>15788218</v>
      </c>
      <c r="C20" s="32" t="s">
        <v>149</v>
      </c>
      <c r="D20" s="13">
        <v>549</v>
      </c>
      <c r="E20" s="13" t="s">
        <v>131</v>
      </c>
      <c r="F20" s="13" t="s">
        <v>129</v>
      </c>
      <c r="G20" s="13">
        <v>24</v>
      </c>
      <c r="H20" s="13">
        <v>9</v>
      </c>
      <c r="I20" s="32">
        <v>0</v>
      </c>
      <c r="J20" s="13">
        <v>2</v>
      </c>
      <c r="K20" s="13">
        <v>1</v>
      </c>
      <c r="L20" s="13">
        <v>1</v>
      </c>
      <c r="M20" s="32">
        <v>14406.41</v>
      </c>
      <c r="N20" s="13">
        <v>0</v>
      </c>
    </row>
    <row r="21" spans="1:14" x14ac:dyDescent="0.3">
      <c r="A21" s="13">
        <v>19</v>
      </c>
      <c r="B21" s="32">
        <v>15661507</v>
      </c>
      <c r="C21" s="32" t="s">
        <v>150</v>
      </c>
      <c r="D21" s="13">
        <v>587</v>
      </c>
      <c r="E21" s="13" t="s">
        <v>131</v>
      </c>
      <c r="F21" s="13" t="s">
        <v>136</v>
      </c>
      <c r="G21" s="13">
        <v>45</v>
      </c>
      <c r="H21" s="13">
        <v>6</v>
      </c>
      <c r="I21" s="32">
        <v>0</v>
      </c>
      <c r="J21" s="13">
        <v>1</v>
      </c>
      <c r="K21" s="13">
        <v>0</v>
      </c>
      <c r="L21" s="13">
        <v>0</v>
      </c>
      <c r="M21" s="32">
        <v>158684.81</v>
      </c>
      <c r="N21" s="13">
        <v>0</v>
      </c>
    </row>
    <row r="22" spans="1:14" x14ac:dyDescent="0.3">
      <c r="A22" s="13">
        <v>20</v>
      </c>
      <c r="B22" s="32">
        <v>15568982</v>
      </c>
      <c r="C22" s="32" t="s">
        <v>151</v>
      </c>
      <c r="D22" s="13">
        <v>726</v>
      </c>
      <c r="E22" s="13" t="s">
        <v>128</v>
      </c>
      <c r="F22" s="13" t="s">
        <v>129</v>
      </c>
      <c r="G22" s="13">
        <v>24</v>
      </c>
      <c r="H22" s="13">
        <v>6</v>
      </c>
      <c r="I22" s="32">
        <v>0</v>
      </c>
      <c r="J22" s="13">
        <v>2</v>
      </c>
      <c r="K22" s="13">
        <v>1</v>
      </c>
      <c r="L22" s="13">
        <v>1</v>
      </c>
      <c r="M22" s="32">
        <v>54724.03</v>
      </c>
      <c r="N22" s="13">
        <v>0</v>
      </c>
    </row>
    <row r="25" spans="1:14" x14ac:dyDescent="0.3">
      <c r="A25" s="49" t="s">
        <v>205</v>
      </c>
      <c r="B25" t="s">
        <v>208</v>
      </c>
    </row>
    <row r="26" spans="1:14" x14ac:dyDescent="0.3">
      <c r="A26" s="59" t="s">
        <v>128</v>
      </c>
      <c r="B26" s="3">
        <v>10</v>
      </c>
    </row>
    <row r="27" spans="1:14" x14ac:dyDescent="0.3">
      <c r="A27" s="59" t="s">
        <v>139</v>
      </c>
      <c r="B27" s="3">
        <v>3</v>
      </c>
    </row>
    <row r="28" spans="1:14" x14ac:dyDescent="0.3">
      <c r="A28" s="59" t="s">
        <v>131</v>
      </c>
      <c r="B28" s="3">
        <v>7</v>
      </c>
    </row>
    <row r="29" spans="1:14" x14ac:dyDescent="0.3">
      <c r="A29" s="59" t="s">
        <v>206</v>
      </c>
      <c r="B29" s="3">
        <v>20</v>
      </c>
    </row>
    <row r="32" spans="1:14" x14ac:dyDescent="0.3">
      <c r="A32" s="49" t="s">
        <v>205</v>
      </c>
      <c r="B32" t="s">
        <v>207</v>
      </c>
    </row>
    <row r="33" spans="1:2" x14ac:dyDescent="0.3">
      <c r="A33" s="59" t="s">
        <v>128</v>
      </c>
      <c r="B33" s="3">
        <v>81786.002999999997</v>
      </c>
    </row>
    <row r="34" spans="1:2" x14ac:dyDescent="0.3">
      <c r="A34" s="59" t="s">
        <v>139</v>
      </c>
      <c r="B34" s="3">
        <v>62923.936666666676</v>
      </c>
    </row>
    <row r="35" spans="1:2" x14ac:dyDescent="0.3">
      <c r="A35" s="59" t="s">
        <v>131</v>
      </c>
      <c r="B35" s="3">
        <v>93830.895714285711</v>
      </c>
    </row>
    <row r="36" spans="1:2" x14ac:dyDescent="0.3">
      <c r="A36" s="59" t="s">
        <v>206</v>
      </c>
      <c r="B36" s="3">
        <v>83172.405500000008</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88C55-9EFA-4E4E-B6C5-772427C669B9}">
  <dimension ref="A3:D8"/>
  <sheetViews>
    <sheetView workbookViewId="0">
      <selection activeCell="B26" sqref="B26"/>
    </sheetView>
  </sheetViews>
  <sheetFormatPr defaultRowHeight="14.4" x14ac:dyDescent="0.3"/>
  <cols>
    <col min="1" max="1" width="24.33203125" bestFit="1" customWidth="1"/>
    <col min="2" max="2" width="15.5546875" bestFit="1" customWidth="1"/>
    <col min="3" max="3" width="11" bestFit="1" customWidth="1"/>
    <col min="4" max="4" width="12" bestFit="1" customWidth="1"/>
  </cols>
  <sheetData>
    <row r="3" spans="1:4" x14ac:dyDescent="0.3">
      <c r="A3" s="60" t="s">
        <v>207</v>
      </c>
      <c r="B3" s="60" t="s">
        <v>204</v>
      </c>
      <c r="C3" s="32"/>
      <c r="D3" s="32"/>
    </row>
    <row r="4" spans="1:4" x14ac:dyDescent="0.3">
      <c r="A4" s="60" t="s">
        <v>205</v>
      </c>
      <c r="B4" s="32" t="s">
        <v>129</v>
      </c>
      <c r="C4" s="32" t="s">
        <v>136</v>
      </c>
      <c r="D4" s="32" t="s">
        <v>206</v>
      </c>
    </row>
    <row r="5" spans="1:4" x14ac:dyDescent="0.3">
      <c r="A5" s="61" t="s">
        <v>128</v>
      </c>
      <c r="B5" s="62">
        <v>142342.21000000002</v>
      </c>
      <c r="C5" s="62">
        <v>77560.81</v>
      </c>
      <c r="D5" s="62">
        <v>109951.51000000001</v>
      </c>
    </row>
    <row r="6" spans="1:4" x14ac:dyDescent="0.3">
      <c r="A6" s="61" t="s">
        <v>139</v>
      </c>
      <c r="B6" s="62"/>
      <c r="C6" s="62">
        <v>64327.26</v>
      </c>
      <c r="D6" s="62">
        <v>64327.26</v>
      </c>
    </row>
    <row r="7" spans="1:4" x14ac:dyDescent="0.3">
      <c r="A7" s="61" t="s">
        <v>131</v>
      </c>
      <c r="B7" s="62">
        <v>112542.58</v>
      </c>
      <c r="C7" s="62">
        <v>158684.81</v>
      </c>
      <c r="D7" s="62">
        <v>135613.69500000001</v>
      </c>
    </row>
    <row r="8" spans="1:4" x14ac:dyDescent="0.3">
      <c r="A8" s="61" t="s">
        <v>206</v>
      </c>
      <c r="B8" s="62">
        <v>132409.00000000003</v>
      </c>
      <c r="C8" s="62">
        <v>94533.422500000001</v>
      </c>
      <c r="D8" s="62">
        <v>110765.81285714287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36DE-C2B0-4C8B-AA9E-980D811BCE5D}">
  <dimension ref="A1"/>
  <sheetViews>
    <sheetView showGridLines="0" showRowColHeaders="0" topLeftCell="A6" workbookViewId="0">
      <selection activeCell="N4" sqref="N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2391A-556D-4A6C-A981-140BE77F1B0C}">
  <dimension ref="A1:P31"/>
  <sheetViews>
    <sheetView workbookViewId="0">
      <selection activeCell="K3" sqref="K3:K23"/>
    </sheetView>
  </sheetViews>
  <sheetFormatPr defaultRowHeight="14.4" x14ac:dyDescent="0.3"/>
  <cols>
    <col min="1" max="1" width="11.5546875" bestFit="1" customWidth="1"/>
    <col min="2" max="2" width="10.77734375" bestFit="1" customWidth="1"/>
    <col min="3" max="3" width="10.77734375" customWidth="1"/>
    <col min="4" max="4" width="12.33203125" bestFit="1" customWidth="1"/>
    <col min="5" max="5" width="10.21875" bestFit="1" customWidth="1"/>
    <col min="6" max="6" width="9.5546875" bestFit="1" customWidth="1"/>
    <col min="7" max="7" width="12.33203125" bestFit="1" customWidth="1"/>
    <col min="8" max="8" width="8.5546875" bestFit="1" customWidth="1"/>
    <col min="9" max="9" width="10" bestFit="1" customWidth="1"/>
    <col min="10" max="10" width="14.6640625" bestFit="1" customWidth="1"/>
    <col min="11" max="11" width="9.6640625" bestFit="1" customWidth="1"/>
    <col min="12" max="12" width="14.88671875" bestFit="1" customWidth="1"/>
    <col min="13" max="13" width="14.5546875" bestFit="1" customWidth="1"/>
    <col min="14" max="14" width="6.109375" bestFit="1" customWidth="1"/>
    <col min="15" max="15" width="18.5546875" bestFit="1" customWidth="1"/>
    <col min="16" max="16" width="14.5546875" bestFit="1" customWidth="1"/>
  </cols>
  <sheetData>
    <row r="1" spans="1:16" ht="23.4" x14ac:dyDescent="0.3">
      <c r="C1" s="70" t="s">
        <v>209</v>
      </c>
      <c r="D1" s="71"/>
      <c r="E1" s="71"/>
    </row>
    <row r="3" spans="1:16" x14ac:dyDescent="0.3">
      <c r="A3" s="58" t="s">
        <v>115</v>
      </c>
      <c r="B3" s="58" t="s">
        <v>116</v>
      </c>
      <c r="C3" s="58" t="s">
        <v>117</v>
      </c>
      <c r="D3" s="58" t="s">
        <v>118</v>
      </c>
      <c r="E3" s="58" t="s">
        <v>119</v>
      </c>
      <c r="F3" s="58" t="s">
        <v>94</v>
      </c>
      <c r="G3" s="58" t="s">
        <v>88</v>
      </c>
      <c r="H3" s="58" t="s">
        <v>120</v>
      </c>
      <c r="I3" s="58" t="s">
        <v>121</v>
      </c>
      <c r="J3" s="58" t="s">
        <v>122</v>
      </c>
      <c r="K3" s="58" t="s">
        <v>123</v>
      </c>
      <c r="L3" s="58" t="s">
        <v>124</v>
      </c>
      <c r="M3" s="58" t="s">
        <v>125</v>
      </c>
      <c r="N3" s="58" t="s">
        <v>126</v>
      </c>
      <c r="O3" s="58" t="s">
        <v>211</v>
      </c>
      <c r="P3" s="58" t="s">
        <v>210</v>
      </c>
    </row>
    <row r="4" spans="1:16" x14ac:dyDescent="0.3">
      <c r="A4" s="13">
        <v>1</v>
      </c>
      <c r="B4" s="32">
        <v>15634602</v>
      </c>
      <c r="C4" s="32" t="s">
        <v>127</v>
      </c>
      <c r="D4" s="13">
        <v>619</v>
      </c>
      <c r="E4" s="13" t="s">
        <v>128</v>
      </c>
      <c r="F4" s="13" t="s">
        <v>129</v>
      </c>
      <c r="G4" s="13">
        <v>42</v>
      </c>
      <c r="H4" s="13">
        <v>2</v>
      </c>
      <c r="I4" s="32">
        <v>0</v>
      </c>
      <c r="J4" s="13">
        <v>1</v>
      </c>
      <c r="K4" s="13">
        <v>1</v>
      </c>
      <c r="L4" s="13">
        <v>1</v>
      </c>
      <c r="M4" s="32">
        <v>101348.88</v>
      </c>
      <c r="N4" s="13">
        <v>1</v>
      </c>
      <c r="O4" s="13" t="str">
        <f>IF(G4&gt;60,"Above 60",IF(G4&gt;=45,"Above 45 &amp; Below 60",IF(G4&gt;=30,"Above 30 &amp; Below 45",IF(G4&gt;=21,"Above 21 &amp; Below 30","Below 21"))))</f>
        <v>Above 30 &amp; Below 45</v>
      </c>
      <c r="P4" s="32" t="e">
        <f>M4/I4</f>
        <v>#DIV/0!</v>
      </c>
    </row>
    <row r="5" spans="1:16" x14ac:dyDescent="0.3">
      <c r="A5" s="13">
        <v>2</v>
      </c>
      <c r="B5" s="32">
        <v>15647311</v>
      </c>
      <c r="C5" s="32" t="s">
        <v>130</v>
      </c>
      <c r="D5" s="13">
        <v>608</v>
      </c>
      <c r="E5" s="13" t="s">
        <v>131</v>
      </c>
      <c r="F5" s="13" t="s">
        <v>129</v>
      </c>
      <c r="G5" s="13">
        <v>41</v>
      </c>
      <c r="H5" s="13">
        <v>1</v>
      </c>
      <c r="I5" s="32">
        <v>83807.86</v>
      </c>
      <c r="J5" s="13">
        <v>1</v>
      </c>
      <c r="K5" s="13">
        <v>0</v>
      </c>
      <c r="L5" s="13">
        <v>1</v>
      </c>
      <c r="M5" s="32">
        <v>112542.58</v>
      </c>
      <c r="N5" s="13">
        <v>0</v>
      </c>
      <c r="O5" s="13" t="str">
        <f t="shared" ref="O5:O23" si="0">IF(G5&gt;60,"Above 60",IF(G5&gt;=45,"Above 45 &amp; Below 60",IF(G5&gt;=30,"Above 30 &amp; Below 45",IF(G5&gt;=21,"Above 21 &amp; Below 30","Below 21"))))</f>
        <v>Above 30 &amp; Below 45</v>
      </c>
      <c r="P5" s="32">
        <f t="shared" ref="P5:P23" si="1">M5/I5</f>
        <v>1.3428642611802759</v>
      </c>
    </row>
    <row r="6" spans="1:16" x14ac:dyDescent="0.3">
      <c r="A6" s="13">
        <v>3</v>
      </c>
      <c r="B6" s="32">
        <v>15619304</v>
      </c>
      <c r="C6" s="32" t="s">
        <v>132</v>
      </c>
      <c r="D6" s="13">
        <v>502</v>
      </c>
      <c r="E6" s="13" t="s">
        <v>128</v>
      </c>
      <c r="F6" s="13" t="s">
        <v>129</v>
      </c>
      <c r="G6" s="13">
        <v>42</v>
      </c>
      <c r="H6" s="13">
        <v>8</v>
      </c>
      <c r="I6" s="32">
        <v>159660.79999999999</v>
      </c>
      <c r="J6" s="13">
        <v>3</v>
      </c>
      <c r="K6" s="13">
        <v>1</v>
      </c>
      <c r="L6" s="13">
        <v>0</v>
      </c>
      <c r="M6" s="32">
        <v>113931.57</v>
      </c>
      <c r="N6" s="13">
        <v>1</v>
      </c>
      <c r="O6" s="13" t="str">
        <f t="shared" si="0"/>
        <v>Above 30 &amp; Below 45</v>
      </c>
      <c r="P6" s="32">
        <f t="shared" si="1"/>
        <v>0.71358511293943172</v>
      </c>
    </row>
    <row r="7" spans="1:16" x14ac:dyDescent="0.3">
      <c r="A7" s="13">
        <v>4</v>
      </c>
      <c r="B7" s="32">
        <v>15701354</v>
      </c>
      <c r="C7" s="32" t="s">
        <v>133</v>
      </c>
      <c r="D7" s="13">
        <v>699</v>
      </c>
      <c r="E7" s="13" t="s">
        <v>128</v>
      </c>
      <c r="F7" s="13" t="s">
        <v>129</v>
      </c>
      <c r="G7" s="13">
        <v>39</v>
      </c>
      <c r="H7" s="13">
        <v>1</v>
      </c>
      <c r="I7" s="32">
        <v>0</v>
      </c>
      <c r="J7" s="13">
        <v>2</v>
      </c>
      <c r="K7" s="13">
        <v>0</v>
      </c>
      <c r="L7" s="13">
        <v>0</v>
      </c>
      <c r="M7" s="32">
        <v>93826.63</v>
      </c>
      <c r="N7" s="13">
        <v>0</v>
      </c>
      <c r="O7" s="13" t="str">
        <f t="shared" si="0"/>
        <v>Above 30 &amp; Below 45</v>
      </c>
      <c r="P7" s="32" t="e">
        <f t="shared" si="1"/>
        <v>#DIV/0!</v>
      </c>
    </row>
    <row r="8" spans="1:16" x14ac:dyDescent="0.3">
      <c r="A8" s="13">
        <v>5</v>
      </c>
      <c r="B8" s="32">
        <v>15737888</v>
      </c>
      <c r="C8" s="32" t="s">
        <v>134</v>
      </c>
      <c r="D8" s="13">
        <v>850</v>
      </c>
      <c r="E8" s="13" t="s">
        <v>131</v>
      </c>
      <c r="F8" s="13" t="s">
        <v>129</v>
      </c>
      <c r="G8" s="13">
        <v>43</v>
      </c>
      <c r="H8" s="13">
        <v>2</v>
      </c>
      <c r="I8" s="32">
        <v>125510.82</v>
      </c>
      <c r="J8" s="13">
        <v>1</v>
      </c>
      <c r="K8" s="13">
        <v>1</v>
      </c>
      <c r="L8" s="13">
        <v>1</v>
      </c>
      <c r="M8" s="32">
        <v>79084.100000000006</v>
      </c>
      <c r="N8" s="13">
        <v>0</v>
      </c>
      <c r="O8" s="13" t="str">
        <f t="shared" si="0"/>
        <v>Above 30 &amp; Below 45</v>
      </c>
      <c r="P8" s="32">
        <f t="shared" si="1"/>
        <v>0.63009786725957173</v>
      </c>
    </row>
    <row r="9" spans="1:16" x14ac:dyDescent="0.3">
      <c r="A9" s="13">
        <v>6</v>
      </c>
      <c r="B9" s="32">
        <v>15574012</v>
      </c>
      <c r="C9" s="32" t="s">
        <v>135</v>
      </c>
      <c r="D9" s="13">
        <v>645</v>
      </c>
      <c r="E9" s="13" t="s">
        <v>131</v>
      </c>
      <c r="F9" s="13" t="s">
        <v>136</v>
      </c>
      <c r="G9" s="13">
        <v>44</v>
      </c>
      <c r="H9" s="13">
        <v>8</v>
      </c>
      <c r="I9" s="32">
        <v>113755.78</v>
      </c>
      <c r="J9" s="13">
        <v>2</v>
      </c>
      <c r="K9" s="13">
        <v>1</v>
      </c>
      <c r="L9" s="13">
        <v>0</v>
      </c>
      <c r="M9" s="32">
        <v>149756.71</v>
      </c>
      <c r="N9" s="13">
        <v>1</v>
      </c>
      <c r="O9" s="13" t="str">
        <f t="shared" si="0"/>
        <v>Above 30 &amp; Below 45</v>
      </c>
      <c r="P9" s="32">
        <f t="shared" si="1"/>
        <v>1.3164756111733398</v>
      </c>
    </row>
    <row r="10" spans="1:16" x14ac:dyDescent="0.3">
      <c r="A10" s="13">
        <v>7</v>
      </c>
      <c r="B10" s="32">
        <v>15592531</v>
      </c>
      <c r="C10" s="32" t="s">
        <v>137</v>
      </c>
      <c r="D10" s="13">
        <v>822</v>
      </c>
      <c r="E10" s="13" t="s">
        <v>128</v>
      </c>
      <c r="F10" s="13" t="s">
        <v>136</v>
      </c>
      <c r="G10" s="13">
        <v>50</v>
      </c>
      <c r="H10" s="13">
        <v>7</v>
      </c>
      <c r="I10" s="32">
        <v>0</v>
      </c>
      <c r="J10" s="13">
        <v>2</v>
      </c>
      <c r="K10" s="13">
        <v>1</v>
      </c>
      <c r="L10" s="13">
        <v>1</v>
      </c>
      <c r="M10" s="32">
        <v>10062.799999999999</v>
      </c>
      <c r="N10" s="13">
        <v>0</v>
      </c>
      <c r="O10" s="13" t="str">
        <f t="shared" si="0"/>
        <v>Above 45 &amp; Below 60</v>
      </c>
      <c r="P10" s="32" t="e">
        <f t="shared" si="1"/>
        <v>#DIV/0!</v>
      </c>
    </row>
    <row r="11" spans="1:16" x14ac:dyDescent="0.3">
      <c r="A11" s="13">
        <v>8</v>
      </c>
      <c r="B11" s="32">
        <v>15656148</v>
      </c>
      <c r="C11" s="32" t="s">
        <v>138</v>
      </c>
      <c r="D11" s="13">
        <v>376</v>
      </c>
      <c r="E11" s="13" t="s">
        <v>139</v>
      </c>
      <c r="F11" s="13" t="s">
        <v>129</v>
      </c>
      <c r="G11" s="13">
        <v>29</v>
      </c>
      <c r="H11" s="13">
        <v>4</v>
      </c>
      <c r="I11" s="32">
        <v>115046.74</v>
      </c>
      <c r="J11" s="13">
        <v>4</v>
      </c>
      <c r="K11" s="13">
        <v>1</v>
      </c>
      <c r="L11" s="13">
        <v>0</v>
      </c>
      <c r="M11" s="32">
        <v>119346.88</v>
      </c>
      <c r="N11" s="13">
        <v>1</v>
      </c>
      <c r="O11" s="13" t="str">
        <f t="shared" si="0"/>
        <v>Above 21 &amp; Below 30</v>
      </c>
      <c r="P11" s="32">
        <f t="shared" si="1"/>
        <v>1.0373773302920186</v>
      </c>
    </row>
    <row r="12" spans="1:16" x14ac:dyDescent="0.3">
      <c r="A12" s="13">
        <v>9</v>
      </c>
      <c r="B12" s="32">
        <v>15792365</v>
      </c>
      <c r="C12" s="32" t="s">
        <v>140</v>
      </c>
      <c r="D12" s="13">
        <v>501</v>
      </c>
      <c r="E12" s="13" t="s">
        <v>128</v>
      </c>
      <c r="F12" s="13" t="s">
        <v>136</v>
      </c>
      <c r="G12" s="13">
        <v>44</v>
      </c>
      <c r="H12" s="13">
        <v>4</v>
      </c>
      <c r="I12" s="32">
        <v>142051.07</v>
      </c>
      <c r="J12" s="13">
        <v>2</v>
      </c>
      <c r="K12" s="13">
        <v>0</v>
      </c>
      <c r="L12" s="13">
        <v>1</v>
      </c>
      <c r="M12" s="32">
        <v>74940.5</v>
      </c>
      <c r="N12" s="13">
        <v>0</v>
      </c>
      <c r="O12" s="13" t="str">
        <f t="shared" si="0"/>
        <v>Above 30 &amp; Below 45</v>
      </c>
      <c r="P12" s="32">
        <f t="shared" si="1"/>
        <v>0.52756026406559275</v>
      </c>
    </row>
    <row r="13" spans="1:16" x14ac:dyDescent="0.3">
      <c r="A13" s="13">
        <v>10</v>
      </c>
      <c r="B13" s="32">
        <v>15592389</v>
      </c>
      <c r="C13" s="32" t="s">
        <v>141</v>
      </c>
      <c r="D13" s="13">
        <v>684</v>
      </c>
      <c r="E13" s="13" t="s">
        <v>128</v>
      </c>
      <c r="F13" s="13" t="s">
        <v>136</v>
      </c>
      <c r="G13" s="13">
        <v>27</v>
      </c>
      <c r="H13" s="13">
        <v>2</v>
      </c>
      <c r="I13" s="32">
        <v>134603.88</v>
      </c>
      <c r="J13" s="13">
        <v>1</v>
      </c>
      <c r="K13" s="13">
        <v>1</v>
      </c>
      <c r="L13" s="13">
        <v>1</v>
      </c>
      <c r="M13" s="32">
        <v>71725.73</v>
      </c>
      <c r="N13" s="13">
        <v>0</v>
      </c>
      <c r="O13" s="13" t="str">
        <f t="shared" si="0"/>
        <v>Above 21 &amp; Below 30</v>
      </c>
      <c r="P13" s="32">
        <f t="shared" si="1"/>
        <v>0.53286524875805952</v>
      </c>
    </row>
    <row r="14" spans="1:16" x14ac:dyDescent="0.3">
      <c r="A14" s="13">
        <v>11</v>
      </c>
      <c r="B14" s="32">
        <v>15767821</v>
      </c>
      <c r="C14" s="32" t="s">
        <v>142</v>
      </c>
      <c r="D14" s="13">
        <v>528</v>
      </c>
      <c r="E14" s="13" t="s">
        <v>128</v>
      </c>
      <c r="F14" s="13" t="s">
        <v>136</v>
      </c>
      <c r="G14" s="13">
        <v>31</v>
      </c>
      <c r="H14" s="13">
        <v>6</v>
      </c>
      <c r="I14" s="32">
        <v>102016.72</v>
      </c>
      <c r="J14" s="13">
        <v>2</v>
      </c>
      <c r="K14" s="13">
        <v>0</v>
      </c>
      <c r="L14" s="13">
        <v>0</v>
      </c>
      <c r="M14" s="32">
        <v>80181.119999999995</v>
      </c>
      <c r="N14" s="13">
        <v>0</v>
      </c>
      <c r="O14" s="13" t="str">
        <f t="shared" si="0"/>
        <v>Above 30 &amp; Below 45</v>
      </c>
      <c r="P14" s="32">
        <f t="shared" si="1"/>
        <v>0.78596057587422918</v>
      </c>
    </row>
    <row r="15" spans="1:16" x14ac:dyDescent="0.3">
      <c r="A15" s="13">
        <v>12</v>
      </c>
      <c r="B15" s="32">
        <v>15737173</v>
      </c>
      <c r="C15" s="32" t="s">
        <v>143</v>
      </c>
      <c r="D15" s="13">
        <v>497</v>
      </c>
      <c r="E15" s="13" t="s">
        <v>131</v>
      </c>
      <c r="F15" s="13" t="s">
        <v>136</v>
      </c>
      <c r="G15" s="13">
        <v>24</v>
      </c>
      <c r="H15" s="13">
        <v>3</v>
      </c>
      <c r="I15" s="32">
        <v>0</v>
      </c>
      <c r="J15" s="13">
        <v>2</v>
      </c>
      <c r="K15" s="13">
        <v>1</v>
      </c>
      <c r="L15" s="13">
        <v>0</v>
      </c>
      <c r="M15" s="32">
        <v>76390.009999999995</v>
      </c>
      <c r="N15" s="13">
        <v>0</v>
      </c>
      <c r="O15" s="13" t="str">
        <f t="shared" si="0"/>
        <v>Above 21 &amp; Below 30</v>
      </c>
      <c r="P15" s="32" t="e">
        <f t="shared" si="1"/>
        <v>#DIV/0!</v>
      </c>
    </row>
    <row r="16" spans="1:16" x14ac:dyDescent="0.3">
      <c r="A16" s="13">
        <v>13</v>
      </c>
      <c r="B16" s="32">
        <v>15632264</v>
      </c>
      <c r="C16" s="32" t="s">
        <v>144</v>
      </c>
      <c r="D16" s="13">
        <v>476</v>
      </c>
      <c r="E16" s="13" t="s">
        <v>128</v>
      </c>
      <c r="F16" s="13" t="s">
        <v>129</v>
      </c>
      <c r="G16" s="13">
        <v>34</v>
      </c>
      <c r="H16" s="13">
        <v>10</v>
      </c>
      <c r="I16" s="32">
        <v>0</v>
      </c>
      <c r="J16" s="13">
        <v>2</v>
      </c>
      <c r="K16" s="13">
        <v>1</v>
      </c>
      <c r="L16" s="13">
        <v>0</v>
      </c>
      <c r="M16" s="32">
        <v>26260.98</v>
      </c>
      <c r="N16" s="13">
        <v>0</v>
      </c>
      <c r="O16" s="13" t="str">
        <f t="shared" si="0"/>
        <v>Above 30 &amp; Below 45</v>
      </c>
      <c r="P16" s="32" t="e">
        <f t="shared" si="1"/>
        <v>#DIV/0!</v>
      </c>
    </row>
    <row r="17" spans="1:16" x14ac:dyDescent="0.3">
      <c r="A17" s="13">
        <v>14</v>
      </c>
      <c r="B17" s="32">
        <v>15691483</v>
      </c>
      <c r="C17" s="32" t="s">
        <v>145</v>
      </c>
      <c r="D17" s="13">
        <v>549</v>
      </c>
      <c r="E17" s="13" t="s">
        <v>128</v>
      </c>
      <c r="F17" s="13" t="s">
        <v>129</v>
      </c>
      <c r="G17" s="13">
        <v>25</v>
      </c>
      <c r="H17" s="13">
        <v>5</v>
      </c>
      <c r="I17" s="32">
        <v>0</v>
      </c>
      <c r="J17" s="13">
        <v>2</v>
      </c>
      <c r="K17" s="13">
        <v>0</v>
      </c>
      <c r="L17" s="13">
        <v>0</v>
      </c>
      <c r="M17" s="32">
        <v>190857.79</v>
      </c>
      <c r="N17" s="13">
        <v>0</v>
      </c>
      <c r="O17" s="13" t="str">
        <f t="shared" si="0"/>
        <v>Above 21 &amp; Below 30</v>
      </c>
      <c r="P17" s="32" t="e">
        <f t="shared" si="1"/>
        <v>#DIV/0!</v>
      </c>
    </row>
    <row r="18" spans="1:16" x14ac:dyDescent="0.3">
      <c r="A18" s="13">
        <v>15</v>
      </c>
      <c r="B18" s="32">
        <v>15600882</v>
      </c>
      <c r="C18" s="32" t="s">
        <v>146</v>
      </c>
      <c r="D18" s="13">
        <v>635</v>
      </c>
      <c r="E18" s="13" t="s">
        <v>131</v>
      </c>
      <c r="F18" s="13" t="s">
        <v>129</v>
      </c>
      <c r="G18" s="13">
        <v>35</v>
      </c>
      <c r="H18" s="13">
        <v>7</v>
      </c>
      <c r="I18" s="32">
        <v>0</v>
      </c>
      <c r="J18" s="13">
        <v>2</v>
      </c>
      <c r="K18" s="13">
        <v>1</v>
      </c>
      <c r="L18" s="13">
        <v>1</v>
      </c>
      <c r="M18" s="32">
        <v>65951.649999999994</v>
      </c>
      <c r="N18" s="13">
        <v>0</v>
      </c>
      <c r="O18" s="13" t="str">
        <f t="shared" si="0"/>
        <v>Above 30 &amp; Below 45</v>
      </c>
      <c r="P18" s="32" t="e">
        <f t="shared" si="1"/>
        <v>#DIV/0!</v>
      </c>
    </row>
    <row r="19" spans="1:16" x14ac:dyDescent="0.3">
      <c r="A19" s="13">
        <v>16</v>
      </c>
      <c r="B19" s="32">
        <v>15643966</v>
      </c>
      <c r="C19" s="32" t="s">
        <v>147</v>
      </c>
      <c r="D19" s="13">
        <v>616</v>
      </c>
      <c r="E19" s="13" t="s">
        <v>139</v>
      </c>
      <c r="F19" s="13" t="s">
        <v>136</v>
      </c>
      <c r="G19" s="13">
        <v>45</v>
      </c>
      <c r="H19" s="13">
        <v>3</v>
      </c>
      <c r="I19" s="32">
        <v>143129.41</v>
      </c>
      <c r="J19" s="13">
        <v>2</v>
      </c>
      <c r="K19" s="13">
        <v>0</v>
      </c>
      <c r="L19" s="13">
        <v>1</v>
      </c>
      <c r="M19" s="32">
        <v>64327.26</v>
      </c>
      <c r="N19" s="13">
        <v>0</v>
      </c>
      <c r="O19" s="13" t="str">
        <f t="shared" si="0"/>
        <v>Above 45 &amp; Below 60</v>
      </c>
      <c r="P19" s="32">
        <f t="shared" si="1"/>
        <v>0.44943425673312004</v>
      </c>
    </row>
    <row r="20" spans="1:16" x14ac:dyDescent="0.3">
      <c r="A20" s="13">
        <v>17</v>
      </c>
      <c r="B20" s="32">
        <v>15737452</v>
      </c>
      <c r="C20" s="32" t="s">
        <v>148</v>
      </c>
      <c r="D20" s="13">
        <v>653</v>
      </c>
      <c r="E20" s="13" t="s">
        <v>139</v>
      </c>
      <c r="F20" s="13" t="s">
        <v>136</v>
      </c>
      <c r="G20" s="13">
        <v>58</v>
      </c>
      <c r="H20" s="13">
        <v>1</v>
      </c>
      <c r="I20" s="32">
        <v>132602.88</v>
      </c>
      <c r="J20" s="13">
        <v>1</v>
      </c>
      <c r="K20" s="13">
        <v>1</v>
      </c>
      <c r="L20" s="13">
        <v>0</v>
      </c>
      <c r="M20" s="32">
        <v>5097.67</v>
      </c>
      <c r="N20" s="13">
        <v>1</v>
      </c>
      <c r="O20" s="13" t="str">
        <f t="shared" si="0"/>
        <v>Above 45 &amp; Below 60</v>
      </c>
      <c r="P20" s="32">
        <f t="shared" si="1"/>
        <v>3.8443131853546468E-2</v>
      </c>
    </row>
    <row r="21" spans="1:16" x14ac:dyDescent="0.3">
      <c r="A21" s="13">
        <v>18</v>
      </c>
      <c r="B21" s="32">
        <v>15788218</v>
      </c>
      <c r="C21" s="32" t="s">
        <v>149</v>
      </c>
      <c r="D21" s="13">
        <v>549</v>
      </c>
      <c r="E21" s="13" t="s">
        <v>131</v>
      </c>
      <c r="F21" s="13" t="s">
        <v>129</v>
      </c>
      <c r="G21" s="13">
        <v>24</v>
      </c>
      <c r="H21" s="13">
        <v>9</v>
      </c>
      <c r="I21" s="32">
        <v>0</v>
      </c>
      <c r="J21" s="13">
        <v>2</v>
      </c>
      <c r="K21" s="13">
        <v>1</v>
      </c>
      <c r="L21" s="13">
        <v>1</v>
      </c>
      <c r="M21" s="32">
        <v>14406.41</v>
      </c>
      <c r="N21" s="13">
        <v>0</v>
      </c>
      <c r="O21" s="13" t="str">
        <f t="shared" si="0"/>
        <v>Above 21 &amp; Below 30</v>
      </c>
      <c r="P21" s="32" t="e">
        <f t="shared" si="1"/>
        <v>#DIV/0!</v>
      </c>
    </row>
    <row r="22" spans="1:16" x14ac:dyDescent="0.3">
      <c r="A22" s="13">
        <v>19</v>
      </c>
      <c r="B22" s="32">
        <v>15661507</v>
      </c>
      <c r="C22" s="32" t="s">
        <v>150</v>
      </c>
      <c r="D22" s="13">
        <v>587</v>
      </c>
      <c r="E22" s="13" t="s">
        <v>131</v>
      </c>
      <c r="F22" s="13" t="s">
        <v>136</v>
      </c>
      <c r="G22" s="13">
        <v>45</v>
      </c>
      <c r="H22" s="13">
        <v>6</v>
      </c>
      <c r="I22" s="32">
        <v>0</v>
      </c>
      <c r="J22" s="13">
        <v>1</v>
      </c>
      <c r="K22" s="13">
        <v>0</v>
      </c>
      <c r="L22" s="13">
        <v>0</v>
      </c>
      <c r="M22" s="32">
        <v>158684.81</v>
      </c>
      <c r="N22" s="13">
        <v>0</v>
      </c>
      <c r="O22" s="13" t="str">
        <f t="shared" si="0"/>
        <v>Above 45 &amp; Below 60</v>
      </c>
      <c r="P22" s="32" t="e">
        <f t="shared" si="1"/>
        <v>#DIV/0!</v>
      </c>
    </row>
    <row r="23" spans="1:16" x14ac:dyDescent="0.3">
      <c r="A23" s="13">
        <v>20</v>
      </c>
      <c r="B23" s="32">
        <v>15568982</v>
      </c>
      <c r="C23" s="32" t="s">
        <v>151</v>
      </c>
      <c r="D23" s="13">
        <v>726</v>
      </c>
      <c r="E23" s="13" t="s">
        <v>128</v>
      </c>
      <c r="F23" s="13" t="s">
        <v>129</v>
      </c>
      <c r="G23" s="13">
        <v>24</v>
      </c>
      <c r="H23" s="13">
        <v>6</v>
      </c>
      <c r="I23" s="32">
        <v>0</v>
      </c>
      <c r="J23" s="13">
        <v>2</v>
      </c>
      <c r="K23" s="13">
        <v>1</v>
      </c>
      <c r="L23" s="13">
        <v>1</v>
      </c>
      <c r="M23" s="32">
        <v>54724.03</v>
      </c>
      <c r="N23" s="13">
        <v>0</v>
      </c>
      <c r="O23" s="13" t="str">
        <f t="shared" si="0"/>
        <v>Above 21 &amp; Below 30</v>
      </c>
      <c r="P23" s="32" t="e">
        <f t="shared" si="1"/>
        <v>#DIV/0!</v>
      </c>
    </row>
    <row r="25" spans="1:16" x14ac:dyDescent="0.3">
      <c r="C25" s="72" t="s">
        <v>212</v>
      </c>
      <c r="D25" s="73"/>
      <c r="F25" s="64" t="s">
        <v>93</v>
      </c>
      <c r="G25" s="64" t="s">
        <v>229</v>
      </c>
      <c r="H25" s="64" t="s">
        <v>117</v>
      </c>
    </row>
    <row r="26" spans="1:16" x14ac:dyDescent="0.3">
      <c r="C26" t="s">
        <v>213</v>
      </c>
      <c r="F26" s="63" t="s">
        <v>219</v>
      </c>
      <c r="G26" s="63" t="s">
        <v>220</v>
      </c>
      <c r="H26" s="63" t="s">
        <v>221</v>
      </c>
    </row>
    <row r="27" spans="1:16" x14ac:dyDescent="0.3">
      <c r="C27" t="s">
        <v>214</v>
      </c>
      <c r="F27" s="63" t="s">
        <v>222</v>
      </c>
      <c r="G27" s="63" t="s">
        <v>220</v>
      </c>
      <c r="H27" s="63" t="s">
        <v>221</v>
      </c>
    </row>
    <row r="28" spans="1:16" x14ac:dyDescent="0.3">
      <c r="C28" t="s">
        <v>215</v>
      </c>
      <c r="F28" s="63" t="s">
        <v>223</v>
      </c>
      <c r="G28" s="63" t="s">
        <v>220</v>
      </c>
      <c r="H28" s="63" t="s">
        <v>221</v>
      </c>
    </row>
    <row r="29" spans="1:16" x14ac:dyDescent="0.3">
      <c r="C29" t="s">
        <v>216</v>
      </c>
      <c r="F29" s="63" t="s">
        <v>224</v>
      </c>
      <c r="G29" s="63" t="s">
        <v>220</v>
      </c>
      <c r="H29" s="63" t="s">
        <v>221</v>
      </c>
    </row>
    <row r="30" spans="1:16" x14ac:dyDescent="0.3">
      <c r="C30" t="s">
        <v>217</v>
      </c>
      <c r="F30" s="63" t="s">
        <v>220</v>
      </c>
      <c r="G30" s="63" t="s">
        <v>225</v>
      </c>
      <c r="H30" s="63" t="s">
        <v>221</v>
      </c>
    </row>
    <row r="31" spans="1:16" x14ac:dyDescent="0.3">
      <c r="C31" t="s">
        <v>218</v>
      </c>
      <c r="F31" s="63" t="s">
        <v>226</v>
      </c>
      <c r="G31" s="63" t="s">
        <v>227</v>
      </c>
      <c r="H31" s="63" t="s">
        <v>228</v>
      </c>
    </row>
  </sheetData>
  <mergeCells count="2">
    <mergeCell ref="C1:E1"/>
    <mergeCell ref="C25:D25"/>
  </mergeCells>
  <dataValidations count="3">
    <dataValidation type="textLength" errorStyle="warning" allowBlank="1" showInputMessage="1" showErrorMessage="1" errorTitle="Surname" error="Enter your surname in text format" promptTitle="Surname" prompt="Enter your surname" sqref="H26:H31" xr:uid="{7BEFB99A-A435-4BF9-92F6-1018639371C4}">
      <formula1>6</formula1>
      <formula2>100</formula2>
    </dataValidation>
    <dataValidation type="textLength" errorStyle="warning" allowBlank="1" showInputMessage="1" showErrorMessage="1" errorTitle="NameError" error="Please enter your name in text format" promptTitle="Name" prompt="Enter your name" sqref="F26:F31" xr:uid="{E5509A1F-E0D0-4EB6-871C-5C67198ECBD3}">
      <formula1>6</formula1>
      <formula2>100</formula2>
    </dataValidation>
    <dataValidation type="textLength" errorStyle="warning" allowBlank="1" showInputMessage="1" showErrorMessage="1" errorTitle="MiddleName" error="Please enter your middle name in text format" promptTitle="MiddleName" prompt="Enter your middle name" sqref="G26:G31" xr:uid="{71041783-B49C-4514-A293-EDADE4FF6582}">
      <formula1>6</formula1>
      <formula2>100</formula2>
    </dataValidation>
  </dataValidation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9B79-5CC2-450E-9CAD-C88BD46647E8}">
  <dimension ref="A1:J21"/>
  <sheetViews>
    <sheetView topLeftCell="A6" zoomScaleNormal="100" workbookViewId="0">
      <selection activeCell="H28" sqref="H28"/>
    </sheetView>
  </sheetViews>
  <sheetFormatPr defaultRowHeight="14.4" x14ac:dyDescent="0.3"/>
  <cols>
    <col min="2" max="2" width="10.5546875" bestFit="1" customWidth="1"/>
    <col min="3" max="6" width="10.21875" bestFit="1" customWidth="1"/>
    <col min="7" max="7" width="7" bestFit="1" customWidth="1"/>
    <col min="8" max="8" width="12" bestFit="1" customWidth="1"/>
    <col min="10" max="10" width="14.5546875" bestFit="1" customWidth="1"/>
  </cols>
  <sheetData>
    <row r="1" spans="1:10" ht="23.4" x14ac:dyDescent="0.45">
      <c r="D1" s="74" t="s">
        <v>230</v>
      </c>
      <c r="E1" s="75"/>
    </row>
    <row r="3" spans="1:10" x14ac:dyDescent="0.3">
      <c r="A3" t="s">
        <v>231</v>
      </c>
    </row>
    <row r="4" spans="1:10" x14ac:dyDescent="0.3">
      <c r="A4">
        <v>1</v>
      </c>
      <c r="B4" t="s">
        <v>232</v>
      </c>
    </row>
    <row r="5" spans="1:10" x14ac:dyDescent="0.3">
      <c r="A5">
        <v>2</v>
      </c>
      <c r="B5" t="s">
        <v>233</v>
      </c>
    </row>
    <row r="6" spans="1:10" x14ac:dyDescent="0.3">
      <c r="A6">
        <v>3</v>
      </c>
      <c r="B6" t="s">
        <v>234</v>
      </c>
    </row>
    <row r="7" spans="1:10" x14ac:dyDescent="0.3">
      <c r="A7" t="s">
        <v>235</v>
      </c>
    </row>
    <row r="10" spans="1:10" x14ac:dyDescent="0.3">
      <c r="A10" s="65" t="s">
        <v>236</v>
      </c>
      <c r="B10" s="65" t="s">
        <v>93</v>
      </c>
      <c r="C10" s="65" t="s">
        <v>237</v>
      </c>
      <c r="D10" s="65" t="s">
        <v>238</v>
      </c>
      <c r="E10" s="65" t="s">
        <v>239</v>
      </c>
      <c r="F10" s="65" t="s">
        <v>240</v>
      </c>
      <c r="G10" s="65" t="s">
        <v>241</v>
      </c>
      <c r="H10" s="65" t="s">
        <v>242</v>
      </c>
      <c r="I10" s="66" t="s">
        <v>243</v>
      </c>
      <c r="J10" s="66" t="s">
        <v>244</v>
      </c>
    </row>
    <row r="11" spans="1:10" x14ac:dyDescent="0.3">
      <c r="A11" s="13">
        <v>1</v>
      </c>
      <c r="B11" s="32" t="s">
        <v>219</v>
      </c>
      <c r="C11" s="13">
        <v>64</v>
      </c>
      <c r="D11" s="13">
        <v>65</v>
      </c>
      <c r="E11" s="13">
        <v>72</v>
      </c>
      <c r="F11" s="13">
        <v>75</v>
      </c>
      <c r="G11" s="13">
        <v>99.000000000000014</v>
      </c>
      <c r="H11" s="13">
        <f>AVERAGE(C11:G11)</f>
        <v>75</v>
      </c>
      <c r="I11" s="13">
        <f>G11</f>
        <v>99.000000000000014</v>
      </c>
      <c r="J11" s="13">
        <v>94</v>
      </c>
    </row>
    <row r="12" spans="1:10" x14ac:dyDescent="0.3">
      <c r="A12" s="13">
        <v>2</v>
      </c>
      <c r="B12" s="32" t="s">
        <v>222</v>
      </c>
      <c r="C12" s="13">
        <v>66</v>
      </c>
      <c r="D12" s="13">
        <v>68</v>
      </c>
      <c r="E12" s="13">
        <v>69</v>
      </c>
      <c r="F12" s="13">
        <v>78</v>
      </c>
      <c r="G12" s="13">
        <v>94.000000000000171</v>
      </c>
      <c r="H12" s="13">
        <f>AVERAGE(C12:G12)</f>
        <v>75.000000000000028</v>
      </c>
      <c r="I12" s="13">
        <f t="shared" ref="I12:I14" si="0">G12</f>
        <v>94.000000000000171</v>
      </c>
      <c r="J12" s="13">
        <v>90</v>
      </c>
    </row>
    <row r="13" spans="1:10" x14ac:dyDescent="0.3">
      <c r="A13" s="13">
        <v>3</v>
      </c>
      <c r="B13" s="32" t="s">
        <v>223</v>
      </c>
      <c r="C13" s="13">
        <v>55</v>
      </c>
      <c r="D13" s="13">
        <v>69</v>
      </c>
      <c r="E13" s="13">
        <v>78</v>
      </c>
      <c r="F13" s="13">
        <v>81</v>
      </c>
      <c r="G13" s="13">
        <v>91.999999999999957</v>
      </c>
      <c r="H13" s="13">
        <f>AVERAGE(C13:G13)</f>
        <v>74.999999999999986</v>
      </c>
      <c r="I13" s="13">
        <f t="shared" si="0"/>
        <v>91.999999999999957</v>
      </c>
      <c r="J13" s="13">
        <v>91.999999999999957</v>
      </c>
    </row>
    <row r="14" spans="1:10" x14ac:dyDescent="0.3">
      <c r="A14" s="13">
        <v>4</v>
      </c>
      <c r="B14" s="32" t="s">
        <v>226</v>
      </c>
      <c r="C14" s="13">
        <v>85</v>
      </c>
      <c r="D14" s="13">
        <v>81</v>
      </c>
      <c r="E14" s="13">
        <v>86</v>
      </c>
      <c r="F14" s="13">
        <v>88</v>
      </c>
      <c r="G14" s="13">
        <v>60.000000000000014</v>
      </c>
      <c r="H14" s="13">
        <f>AVERAGE(C14:G14)</f>
        <v>80</v>
      </c>
      <c r="I14" s="13">
        <f t="shared" si="0"/>
        <v>60.000000000000014</v>
      </c>
      <c r="J14" s="13">
        <v>100</v>
      </c>
    </row>
    <row r="17" spans="1:8" x14ac:dyDescent="0.3">
      <c r="A17" s="65" t="s">
        <v>236</v>
      </c>
      <c r="B17" s="65" t="s">
        <v>93</v>
      </c>
      <c r="C17" s="65" t="s">
        <v>237</v>
      </c>
      <c r="D17" s="65" t="s">
        <v>238</v>
      </c>
      <c r="E17" s="65" t="s">
        <v>239</v>
      </c>
      <c r="F17" s="65" t="s">
        <v>240</v>
      </c>
      <c r="G17" s="65" t="s">
        <v>241</v>
      </c>
      <c r="H17" s="65" t="s">
        <v>242</v>
      </c>
    </row>
    <row r="18" spans="1:8" x14ac:dyDescent="0.3">
      <c r="A18" s="13">
        <v>1</v>
      </c>
      <c r="B18" s="32" t="s">
        <v>219</v>
      </c>
      <c r="C18" s="13">
        <v>64</v>
      </c>
      <c r="D18" s="13">
        <v>65</v>
      </c>
      <c r="E18" s="13">
        <v>72</v>
      </c>
      <c r="F18" s="13">
        <v>75</v>
      </c>
      <c r="G18" s="13">
        <v>85</v>
      </c>
      <c r="H18" s="13">
        <f>AVERAGE(C18:G18)</f>
        <v>72.2</v>
      </c>
    </row>
    <row r="19" spans="1:8" x14ac:dyDescent="0.3">
      <c r="A19" s="13">
        <v>2</v>
      </c>
      <c r="B19" s="32" t="s">
        <v>222</v>
      </c>
      <c r="C19" s="13">
        <v>66</v>
      </c>
      <c r="D19" s="13">
        <v>68</v>
      </c>
      <c r="E19" s="13">
        <v>69</v>
      </c>
      <c r="F19" s="13">
        <v>78</v>
      </c>
      <c r="G19" s="13">
        <v>94.000000000000171</v>
      </c>
      <c r="H19" s="13">
        <f>AVERAGE(C19:G19)</f>
        <v>75.000000000000028</v>
      </c>
    </row>
    <row r="20" spans="1:8" x14ac:dyDescent="0.3">
      <c r="A20" s="13">
        <v>3</v>
      </c>
      <c r="B20" s="32" t="s">
        <v>223</v>
      </c>
      <c r="C20" s="13">
        <v>55</v>
      </c>
      <c r="D20" s="13">
        <v>69</v>
      </c>
      <c r="E20" s="13">
        <v>78</v>
      </c>
      <c r="F20" s="13">
        <v>81</v>
      </c>
      <c r="G20" s="13">
        <v>91.999999999999957</v>
      </c>
      <c r="H20" s="13">
        <f>AVERAGE(C20:G20)</f>
        <v>74.999999999999986</v>
      </c>
    </row>
    <row r="21" spans="1:8" x14ac:dyDescent="0.3">
      <c r="A21" s="13">
        <v>4</v>
      </c>
      <c r="B21" s="32" t="s">
        <v>226</v>
      </c>
      <c r="C21" s="13">
        <v>85</v>
      </c>
      <c r="D21" s="13">
        <v>81</v>
      </c>
      <c r="E21" s="13">
        <v>86</v>
      </c>
      <c r="F21" s="13">
        <v>88</v>
      </c>
      <c r="G21" s="13">
        <v>60.000000000000014</v>
      </c>
      <c r="H21" s="13">
        <f>AVERAGE(C21:G21)</f>
        <v>80</v>
      </c>
    </row>
  </sheetData>
  <scenarios current="1" show="1">
    <scenario name="Overall " locked="1" count="1" user="LENOVO" comment="Created by AKSHAY on 7/27/2022">
      <inputCells r="G18" val="75"/>
    </scenario>
    <scenario name="Overall" locked="1" count="1" user="LENOVO" comment="Created by LENOVO on 7/27/2022">
      <inputCells r="G18" val="85"/>
    </scenario>
  </scenarios>
  <mergeCells count="1">
    <mergeCell ref="D1:E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CBA65-1935-4621-BE1A-6D348564B962}">
  <dimension ref="A1:I367"/>
  <sheetViews>
    <sheetView workbookViewId="0">
      <selection activeCell="F9" sqref="F9"/>
    </sheetView>
  </sheetViews>
  <sheetFormatPr defaultRowHeight="14.4" x14ac:dyDescent="0.3"/>
  <cols>
    <col min="9" max="9" width="10.5546875" bestFit="1" customWidth="1"/>
  </cols>
  <sheetData>
    <row r="1" spans="1:9" ht="18" x14ac:dyDescent="0.35">
      <c r="B1" s="67" t="s">
        <v>245</v>
      </c>
      <c r="C1" s="67"/>
      <c r="D1" s="67"/>
    </row>
    <row r="3" spans="1:9" x14ac:dyDescent="0.3">
      <c r="A3">
        <v>1</v>
      </c>
      <c r="B3" t="s">
        <v>246</v>
      </c>
      <c r="D3" t="s">
        <v>247</v>
      </c>
      <c r="H3">
        <v>1000</v>
      </c>
      <c r="I3" s="1"/>
    </row>
    <row r="4" spans="1:9" x14ac:dyDescent="0.3">
      <c r="A4">
        <v>2</v>
      </c>
      <c r="B4" t="s">
        <v>248</v>
      </c>
      <c r="D4" t="s">
        <v>249</v>
      </c>
      <c r="H4">
        <v>2000</v>
      </c>
      <c r="I4" s="1"/>
    </row>
    <row r="5" spans="1:9" x14ac:dyDescent="0.3">
      <c r="A5">
        <v>3</v>
      </c>
      <c r="B5" t="s">
        <v>250</v>
      </c>
      <c r="D5" t="s">
        <v>251</v>
      </c>
      <c r="H5">
        <v>30000</v>
      </c>
      <c r="I5" s="1"/>
    </row>
    <row r="6" spans="1:9" x14ac:dyDescent="0.3">
      <c r="A6">
        <v>4</v>
      </c>
      <c r="B6" t="s">
        <v>252</v>
      </c>
      <c r="D6" t="s">
        <v>253</v>
      </c>
      <c r="H6">
        <v>4000</v>
      </c>
      <c r="I6" s="1"/>
    </row>
    <row r="7" spans="1:9" x14ac:dyDescent="0.3">
      <c r="A7">
        <v>5</v>
      </c>
      <c r="B7" t="s">
        <v>254</v>
      </c>
      <c r="D7" t="s">
        <v>255</v>
      </c>
      <c r="H7">
        <v>50000</v>
      </c>
      <c r="I7" s="1"/>
    </row>
    <row r="8" spans="1:9" x14ac:dyDescent="0.3">
      <c r="A8">
        <v>6</v>
      </c>
      <c r="B8" t="s">
        <v>256</v>
      </c>
      <c r="D8" t="s">
        <v>257</v>
      </c>
      <c r="I8" s="1"/>
    </row>
    <row r="9" spans="1:9" x14ac:dyDescent="0.3">
      <c r="A9">
        <v>7</v>
      </c>
      <c r="B9" t="s">
        <v>258</v>
      </c>
      <c r="D9" t="s">
        <v>259</v>
      </c>
      <c r="I9" s="1"/>
    </row>
    <row r="10" spans="1:9" x14ac:dyDescent="0.3">
      <c r="A10">
        <v>8</v>
      </c>
      <c r="B10" t="s">
        <v>260</v>
      </c>
      <c r="D10" t="s">
        <v>261</v>
      </c>
      <c r="I10" s="1"/>
    </row>
    <row r="11" spans="1:9" x14ac:dyDescent="0.3">
      <c r="A11">
        <v>9</v>
      </c>
      <c r="B11" t="s">
        <v>262</v>
      </c>
      <c r="D11" t="s">
        <v>263</v>
      </c>
      <c r="I11" s="1"/>
    </row>
    <row r="12" spans="1:9" x14ac:dyDescent="0.3">
      <c r="A12">
        <v>10</v>
      </c>
      <c r="B12" t="s">
        <v>264</v>
      </c>
      <c r="D12" t="s">
        <v>265</v>
      </c>
      <c r="I12" s="1"/>
    </row>
    <row r="13" spans="1:9" x14ac:dyDescent="0.3">
      <c r="A13">
        <v>11</v>
      </c>
      <c r="B13" t="s">
        <v>266</v>
      </c>
      <c r="D13" t="s">
        <v>267</v>
      </c>
      <c r="I13" s="1"/>
    </row>
    <row r="14" spans="1:9" x14ac:dyDescent="0.3">
      <c r="A14">
        <v>12</v>
      </c>
      <c r="B14" t="s">
        <v>268</v>
      </c>
      <c r="D14" t="s">
        <v>269</v>
      </c>
      <c r="I14" s="1"/>
    </row>
    <row r="15" spans="1:9" x14ac:dyDescent="0.3">
      <c r="I15" s="1"/>
    </row>
    <row r="16" spans="1:9" x14ac:dyDescent="0.3">
      <c r="I16" s="1"/>
    </row>
    <row r="17" spans="9:9" x14ac:dyDescent="0.3">
      <c r="I17" s="1"/>
    </row>
    <row r="18" spans="9:9" x14ac:dyDescent="0.3">
      <c r="I18" s="1"/>
    </row>
    <row r="19" spans="9:9" x14ac:dyDescent="0.3">
      <c r="I19" s="1"/>
    </row>
    <row r="20" spans="9:9" x14ac:dyDescent="0.3">
      <c r="I20" s="1"/>
    </row>
    <row r="21" spans="9:9" x14ac:dyDescent="0.3">
      <c r="I21" s="1"/>
    </row>
    <row r="22" spans="9:9" x14ac:dyDescent="0.3">
      <c r="I22" s="1"/>
    </row>
    <row r="23" spans="9:9" x14ac:dyDescent="0.3">
      <c r="I23" s="1"/>
    </row>
    <row r="24" spans="9:9" x14ac:dyDescent="0.3">
      <c r="I24" s="1"/>
    </row>
    <row r="25" spans="9:9" x14ac:dyDescent="0.3">
      <c r="I25" s="1"/>
    </row>
    <row r="26" spans="9:9" x14ac:dyDescent="0.3">
      <c r="I26" s="1"/>
    </row>
    <row r="27" spans="9:9" x14ac:dyDescent="0.3">
      <c r="I27" s="1"/>
    </row>
    <row r="28" spans="9:9" x14ac:dyDescent="0.3">
      <c r="I28" s="1"/>
    </row>
    <row r="29" spans="9:9" x14ac:dyDescent="0.3">
      <c r="I29" s="1"/>
    </row>
    <row r="30" spans="9:9" x14ac:dyDescent="0.3">
      <c r="I30" s="1"/>
    </row>
    <row r="31" spans="9:9" x14ac:dyDescent="0.3">
      <c r="I31" s="1"/>
    </row>
    <row r="32" spans="9:9" x14ac:dyDescent="0.3">
      <c r="I32" s="1"/>
    </row>
    <row r="33" spans="9:9" x14ac:dyDescent="0.3">
      <c r="I33" s="1"/>
    </row>
    <row r="34" spans="9:9" x14ac:dyDescent="0.3">
      <c r="I34" s="1"/>
    </row>
    <row r="35" spans="9:9" x14ac:dyDescent="0.3">
      <c r="I35" s="1"/>
    </row>
    <row r="36" spans="9:9" x14ac:dyDescent="0.3">
      <c r="I36" s="1"/>
    </row>
    <row r="37" spans="9:9" x14ac:dyDescent="0.3">
      <c r="I37" s="1"/>
    </row>
    <row r="38" spans="9:9" x14ac:dyDescent="0.3">
      <c r="I38" s="1"/>
    </row>
    <row r="39" spans="9:9" x14ac:dyDescent="0.3">
      <c r="I39" s="1"/>
    </row>
    <row r="40" spans="9:9" x14ac:dyDescent="0.3">
      <c r="I40" s="1"/>
    </row>
    <row r="41" spans="9:9" x14ac:dyDescent="0.3">
      <c r="I41" s="1"/>
    </row>
    <row r="42" spans="9:9" x14ac:dyDescent="0.3">
      <c r="I42" s="1"/>
    </row>
    <row r="43" spans="9:9" x14ac:dyDescent="0.3">
      <c r="I43" s="1"/>
    </row>
    <row r="44" spans="9:9" x14ac:dyDescent="0.3">
      <c r="I44" s="1"/>
    </row>
    <row r="45" spans="9:9" x14ac:dyDescent="0.3">
      <c r="I45" s="1"/>
    </row>
    <row r="46" spans="9:9" x14ac:dyDescent="0.3">
      <c r="I46" s="1"/>
    </row>
    <row r="47" spans="9:9" x14ac:dyDescent="0.3">
      <c r="I47" s="1"/>
    </row>
    <row r="48" spans="9:9" x14ac:dyDescent="0.3">
      <c r="I48" s="1"/>
    </row>
    <row r="49" spans="9:9" x14ac:dyDescent="0.3">
      <c r="I49" s="1"/>
    </row>
    <row r="50" spans="9:9" x14ac:dyDescent="0.3">
      <c r="I50" s="1"/>
    </row>
    <row r="51" spans="9:9" x14ac:dyDescent="0.3">
      <c r="I51" s="1"/>
    </row>
    <row r="52" spans="9:9" x14ac:dyDescent="0.3">
      <c r="I52" s="1"/>
    </row>
    <row r="53" spans="9:9" x14ac:dyDescent="0.3">
      <c r="I53" s="1"/>
    </row>
    <row r="54" spans="9:9" x14ac:dyDescent="0.3">
      <c r="I54" s="1"/>
    </row>
    <row r="55" spans="9:9" x14ac:dyDescent="0.3">
      <c r="I55" s="1"/>
    </row>
    <row r="56" spans="9:9" x14ac:dyDescent="0.3">
      <c r="I56" s="1"/>
    </row>
    <row r="57" spans="9:9" x14ac:dyDescent="0.3">
      <c r="I57" s="1"/>
    </row>
    <row r="58" spans="9:9" x14ac:dyDescent="0.3">
      <c r="I58" s="1"/>
    </row>
    <row r="59" spans="9:9" x14ac:dyDescent="0.3">
      <c r="I59" s="1"/>
    </row>
    <row r="60" spans="9:9" x14ac:dyDescent="0.3">
      <c r="I60" s="1"/>
    </row>
    <row r="61" spans="9:9" x14ac:dyDescent="0.3">
      <c r="I61" s="1"/>
    </row>
    <row r="62" spans="9:9" x14ac:dyDescent="0.3">
      <c r="I62" s="1"/>
    </row>
    <row r="63" spans="9:9" x14ac:dyDescent="0.3">
      <c r="I63" s="1"/>
    </row>
    <row r="64" spans="9:9" x14ac:dyDescent="0.3">
      <c r="I64" s="1"/>
    </row>
    <row r="65" spans="9:9" x14ac:dyDescent="0.3">
      <c r="I65" s="1"/>
    </row>
    <row r="66" spans="9:9" x14ac:dyDescent="0.3">
      <c r="I66" s="1"/>
    </row>
    <row r="67" spans="9:9" x14ac:dyDescent="0.3">
      <c r="I67" s="1"/>
    </row>
    <row r="68" spans="9:9" x14ac:dyDescent="0.3">
      <c r="I68" s="1"/>
    </row>
    <row r="69" spans="9:9" x14ac:dyDescent="0.3">
      <c r="I69" s="1"/>
    </row>
    <row r="70" spans="9:9" x14ac:dyDescent="0.3">
      <c r="I70" s="1"/>
    </row>
    <row r="71" spans="9:9" x14ac:dyDescent="0.3">
      <c r="I71" s="1"/>
    </row>
    <row r="72" spans="9:9" x14ac:dyDescent="0.3">
      <c r="I72" s="1"/>
    </row>
    <row r="73" spans="9:9" x14ac:dyDescent="0.3">
      <c r="I73" s="1"/>
    </row>
    <row r="74" spans="9:9" x14ac:dyDescent="0.3">
      <c r="I74" s="1"/>
    </row>
    <row r="75" spans="9:9" x14ac:dyDescent="0.3">
      <c r="I75" s="1"/>
    </row>
    <row r="76" spans="9:9" x14ac:dyDescent="0.3">
      <c r="I76" s="1"/>
    </row>
    <row r="77" spans="9:9" x14ac:dyDescent="0.3">
      <c r="I77" s="1"/>
    </row>
    <row r="78" spans="9:9" x14ac:dyDescent="0.3">
      <c r="I78" s="1"/>
    </row>
    <row r="79" spans="9:9" x14ac:dyDescent="0.3">
      <c r="I79" s="1"/>
    </row>
    <row r="80" spans="9:9" x14ac:dyDescent="0.3">
      <c r="I80" s="1"/>
    </row>
    <row r="81" spans="9:9" x14ac:dyDescent="0.3">
      <c r="I81" s="1"/>
    </row>
    <row r="82" spans="9:9" x14ac:dyDescent="0.3">
      <c r="I82" s="1"/>
    </row>
    <row r="83" spans="9:9" x14ac:dyDescent="0.3">
      <c r="I83" s="1"/>
    </row>
    <row r="84" spans="9:9" x14ac:dyDescent="0.3">
      <c r="I84" s="1"/>
    </row>
    <row r="85" spans="9:9" x14ac:dyDescent="0.3">
      <c r="I85" s="1"/>
    </row>
    <row r="86" spans="9:9" x14ac:dyDescent="0.3">
      <c r="I86" s="1"/>
    </row>
    <row r="87" spans="9:9" x14ac:dyDescent="0.3">
      <c r="I87" s="1"/>
    </row>
    <row r="88" spans="9:9" x14ac:dyDescent="0.3">
      <c r="I88" s="1"/>
    </row>
    <row r="89" spans="9:9" x14ac:dyDescent="0.3">
      <c r="I89" s="1"/>
    </row>
    <row r="90" spans="9:9" x14ac:dyDescent="0.3">
      <c r="I90" s="1"/>
    </row>
    <row r="91" spans="9:9" x14ac:dyDescent="0.3">
      <c r="I91" s="1"/>
    </row>
    <row r="92" spans="9:9" x14ac:dyDescent="0.3">
      <c r="I92" s="1"/>
    </row>
    <row r="93" spans="9:9" x14ac:dyDescent="0.3">
      <c r="I93" s="1"/>
    </row>
    <row r="94" spans="9:9" x14ac:dyDescent="0.3">
      <c r="I94" s="1"/>
    </row>
    <row r="95" spans="9:9" x14ac:dyDescent="0.3">
      <c r="I95" s="1"/>
    </row>
    <row r="96" spans="9:9" x14ac:dyDescent="0.3">
      <c r="I96" s="1"/>
    </row>
    <row r="97" spans="9:9" x14ac:dyDescent="0.3">
      <c r="I97" s="1"/>
    </row>
    <row r="98" spans="9:9" x14ac:dyDescent="0.3">
      <c r="I98" s="1"/>
    </row>
    <row r="99" spans="9:9" x14ac:dyDescent="0.3">
      <c r="I99" s="1"/>
    </row>
    <row r="100" spans="9:9" x14ac:dyDescent="0.3">
      <c r="I100" s="1"/>
    </row>
    <row r="101" spans="9:9" x14ac:dyDescent="0.3">
      <c r="I101" s="1"/>
    </row>
    <row r="102" spans="9:9" x14ac:dyDescent="0.3">
      <c r="I102" s="1"/>
    </row>
    <row r="103" spans="9:9" x14ac:dyDescent="0.3">
      <c r="I103" s="1"/>
    </row>
    <row r="104" spans="9:9" x14ac:dyDescent="0.3">
      <c r="I104" s="1"/>
    </row>
    <row r="105" spans="9:9" x14ac:dyDescent="0.3">
      <c r="I105" s="1"/>
    </row>
    <row r="106" spans="9:9" x14ac:dyDescent="0.3">
      <c r="I106" s="1"/>
    </row>
    <row r="107" spans="9:9" x14ac:dyDescent="0.3">
      <c r="I107" s="1"/>
    </row>
    <row r="108" spans="9:9" x14ac:dyDescent="0.3">
      <c r="I108" s="1"/>
    </row>
    <row r="109" spans="9:9" x14ac:dyDescent="0.3">
      <c r="I109" s="1"/>
    </row>
    <row r="110" spans="9:9" x14ac:dyDescent="0.3">
      <c r="I110" s="1"/>
    </row>
    <row r="111" spans="9:9" x14ac:dyDescent="0.3">
      <c r="I111" s="1"/>
    </row>
    <row r="112" spans="9:9" x14ac:dyDescent="0.3">
      <c r="I112" s="1"/>
    </row>
    <row r="113" spans="9:9" x14ac:dyDescent="0.3">
      <c r="I113" s="1"/>
    </row>
    <row r="114" spans="9:9" x14ac:dyDescent="0.3">
      <c r="I114" s="1"/>
    </row>
    <row r="115" spans="9:9" x14ac:dyDescent="0.3">
      <c r="I115" s="1"/>
    </row>
    <row r="116" spans="9:9" x14ac:dyDescent="0.3">
      <c r="I116" s="1"/>
    </row>
    <row r="117" spans="9:9" x14ac:dyDescent="0.3">
      <c r="I117" s="1"/>
    </row>
    <row r="118" spans="9:9" x14ac:dyDescent="0.3">
      <c r="I118" s="1"/>
    </row>
    <row r="119" spans="9:9" x14ac:dyDescent="0.3">
      <c r="I119" s="1"/>
    </row>
    <row r="120" spans="9:9" x14ac:dyDescent="0.3">
      <c r="I120" s="1"/>
    </row>
    <row r="121" spans="9:9" x14ac:dyDescent="0.3">
      <c r="I121" s="1"/>
    </row>
    <row r="122" spans="9:9" x14ac:dyDescent="0.3">
      <c r="I122" s="1"/>
    </row>
    <row r="123" spans="9:9" x14ac:dyDescent="0.3">
      <c r="I123" s="1"/>
    </row>
    <row r="124" spans="9:9" x14ac:dyDescent="0.3">
      <c r="I124" s="1"/>
    </row>
    <row r="125" spans="9:9" x14ac:dyDescent="0.3">
      <c r="I125" s="1"/>
    </row>
    <row r="126" spans="9:9" x14ac:dyDescent="0.3">
      <c r="I126" s="1"/>
    </row>
    <row r="127" spans="9:9" x14ac:dyDescent="0.3">
      <c r="I127" s="1"/>
    </row>
    <row r="128" spans="9:9" x14ac:dyDescent="0.3">
      <c r="I128" s="1"/>
    </row>
    <row r="129" spans="9:9" x14ac:dyDescent="0.3">
      <c r="I129" s="1"/>
    </row>
    <row r="130" spans="9:9" x14ac:dyDescent="0.3">
      <c r="I130" s="1"/>
    </row>
    <row r="131" spans="9:9" x14ac:dyDescent="0.3">
      <c r="I131" s="1"/>
    </row>
    <row r="132" spans="9:9" x14ac:dyDescent="0.3">
      <c r="I132" s="1"/>
    </row>
    <row r="133" spans="9:9" x14ac:dyDescent="0.3">
      <c r="I133" s="1"/>
    </row>
    <row r="134" spans="9:9" x14ac:dyDescent="0.3">
      <c r="I134" s="1"/>
    </row>
    <row r="135" spans="9:9" x14ac:dyDescent="0.3">
      <c r="I135" s="1"/>
    </row>
    <row r="136" spans="9:9" x14ac:dyDescent="0.3">
      <c r="I136" s="1"/>
    </row>
    <row r="137" spans="9:9" x14ac:dyDescent="0.3">
      <c r="I137" s="1"/>
    </row>
    <row r="138" spans="9:9" x14ac:dyDescent="0.3">
      <c r="I138" s="1"/>
    </row>
    <row r="139" spans="9:9" x14ac:dyDescent="0.3">
      <c r="I139" s="1"/>
    </row>
    <row r="140" spans="9:9" x14ac:dyDescent="0.3">
      <c r="I140" s="1"/>
    </row>
    <row r="141" spans="9:9" x14ac:dyDescent="0.3">
      <c r="I141" s="1"/>
    </row>
    <row r="142" spans="9:9" x14ac:dyDescent="0.3">
      <c r="I142" s="1"/>
    </row>
    <row r="143" spans="9:9" x14ac:dyDescent="0.3">
      <c r="I143" s="1"/>
    </row>
    <row r="144" spans="9:9" x14ac:dyDescent="0.3">
      <c r="I144" s="1"/>
    </row>
    <row r="145" spans="9:9" x14ac:dyDescent="0.3">
      <c r="I145" s="1"/>
    </row>
    <row r="146" spans="9:9" x14ac:dyDescent="0.3">
      <c r="I146" s="1"/>
    </row>
    <row r="147" spans="9:9" x14ac:dyDescent="0.3">
      <c r="I147" s="1"/>
    </row>
    <row r="148" spans="9:9" x14ac:dyDescent="0.3">
      <c r="I148" s="1"/>
    </row>
    <row r="149" spans="9:9" x14ac:dyDescent="0.3">
      <c r="I149" s="1"/>
    </row>
    <row r="150" spans="9:9" x14ac:dyDescent="0.3">
      <c r="I150" s="1"/>
    </row>
    <row r="151" spans="9:9" x14ac:dyDescent="0.3">
      <c r="I151" s="1"/>
    </row>
    <row r="152" spans="9:9" x14ac:dyDescent="0.3">
      <c r="I152" s="1"/>
    </row>
    <row r="153" spans="9:9" x14ac:dyDescent="0.3">
      <c r="I153" s="1"/>
    </row>
    <row r="154" spans="9:9" x14ac:dyDescent="0.3">
      <c r="I154" s="1"/>
    </row>
    <row r="155" spans="9:9" x14ac:dyDescent="0.3">
      <c r="I155" s="1"/>
    </row>
    <row r="156" spans="9:9" x14ac:dyDescent="0.3">
      <c r="I156" s="1"/>
    </row>
    <row r="157" spans="9:9" x14ac:dyDescent="0.3">
      <c r="I157" s="1"/>
    </row>
    <row r="158" spans="9:9" x14ac:dyDescent="0.3">
      <c r="I158" s="1"/>
    </row>
    <row r="159" spans="9:9" x14ac:dyDescent="0.3">
      <c r="I159" s="1"/>
    </row>
    <row r="160" spans="9:9" x14ac:dyDescent="0.3">
      <c r="I160" s="1"/>
    </row>
    <row r="161" spans="9:9" x14ac:dyDescent="0.3">
      <c r="I161" s="1"/>
    </row>
    <row r="162" spans="9:9" x14ac:dyDescent="0.3">
      <c r="I162" s="1"/>
    </row>
    <row r="163" spans="9:9" x14ac:dyDescent="0.3">
      <c r="I163" s="1"/>
    </row>
    <row r="164" spans="9:9" x14ac:dyDescent="0.3">
      <c r="I164" s="1"/>
    </row>
    <row r="165" spans="9:9" x14ac:dyDescent="0.3">
      <c r="I165" s="1"/>
    </row>
    <row r="166" spans="9:9" x14ac:dyDescent="0.3">
      <c r="I166" s="1"/>
    </row>
    <row r="167" spans="9:9" x14ac:dyDescent="0.3">
      <c r="I167" s="1"/>
    </row>
    <row r="168" spans="9:9" x14ac:dyDescent="0.3">
      <c r="I168" s="1"/>
    </row>
    <row r="169" spans="9:9" x14ac:dyDescent="0.3">
      <c r="I169" s="1"/>
    </row>
    <row r="170" spans="9:9" x14ac:dyDescent="0.3">
      <c r="I170" s="1"/>
    </row>
    <row r="171" spans="9:9" x14ac:dyDescent="0.3">
      <c r="I171" s="1"/>
    </row>
    <row r="172" spans="9:9" x14ac:dyDescent="0.3">
      <c r="I172" s="1"/>
    </row>
    <row r="173" spans="9:9" x14ac:dyDescent="0.3">
      <c r="I173" s="1"/>
    </row>
    <row r="174" spans="9:9" x14ac:dyDescent="0.3">
      <c r="I174" s="1"/>
    </row>
    <row r="175" spans="9:9" x14ac:dyDescent="0.3">
      <c r="I175" s="1"/>
    </row>
    <row r="176" spans="9:9" x14ac:dyDescent="0.3">
      <c r="I176" s="1"/>
    </row>
    <row r="177" spans="9:9" x14ac:dyDescent="0.3">
      <c r="I177" s="1"/>
    </row>
    <row r="178" spans="9:9" x14ac:dyDescent="0.3">
      <c r="I178" s="1"/>
    </row>
    <row r="179" spans="9:9" x14ac:dyDescent="0.3">
      <c r="I179" s="1"/>
    </row>
    <row r="180" spans="9:9" x14ac:dyDescent="0.3">
      <c r="I180" s="1"/>
    </row>
    <row r="181" spans="9:9" x14ac:dyDescent="0.3">
      <c r="I181" s="1"/>
    </row>
    <row r="182" spans="9:9" x14ac:dyDescent="0.3">
      <c r="I182" s="1"/>
    </row>
    <row r="183" spans="9:9" x14ac:dyDescent="0.3">
      <c r="I183" s="1"/>
    </row>
    <row r="184" spans="9:9" x14ac:dyDescent="0.3">
      <c r="I184" s="1"/>
    </row>
    <row r="185" spans="9:9" x14ac:dyDescent="0.3">
      <c r="I185" s="1"/>
    </row>
    <row r="186" spans="9:9" x14ac:dyDescent="0.3">
      <c r="I186" s="1"/>
    </row>
    <row r="187" spans="9:9" x14ac:dyDescent="0.3">
      <c r="I187" s="1"/>
    </row>
    <row r="188" spans="9:9" x14ac:dyDescent="0.3">
      <c r="I188" s="1"/>
    </row>
    <row r="189" spans="9:9" x14ac:dyDescent="0.3">
      <c r="I189" s="1"/>
    </row>
    <row r="190" spans="9:9" x14ac:dyDescent="0.3">
      <c r="I190" s="1"/>
    </row>
    <row r="191" spans="9:9" x14ac:dyDescent="0.3">
      <c r="I191" s="1"/>
    </row>
    <row r="192" spans="9:9" x14ac:dyDescent="0.3">
      <c r="I192" s="1"/>
    </row>
    <row r="193" spans="9:9" x14ac:dyDescent="0.3">
      <c r="I193" s="1"/>
    </row>
    <row r="194" spans="9:9" x14ac:dyDescent="0.3">
      <c r="I194" s="1"/>
    </row>
    <row r="195" spans="9:9" x14ac:dyDescent="0.3">
      <c r="I195" s="1"/>
    </row>
    <row r="196" spans="9:9" x14ac:dyDescent="0.3">
      <c r="I196" s="1"/>
    </row>
    <row r="197" spans="9:9" x14ac:dyDescent="0.3">
      <c r="I197" s="1"/>
    </row>
    <row r="198" spans="9:9" x14ac:dyDescent="0.3">
      <c r="I198" s="1"/>
    </row>
    <row r="199" spans="9:9" x14ac:dyDescent="0.3">
      <c r="I199" s="1"/>
    </row>
    <row r="200" spans="9:9" x14ac:dyDescent="0.3">
      <c r="I200" s="1"/>
    </row>
    <row r="201" spans="9:9" x14ac:dyDescent="0.3">
      <c r="I201" s="1"/>
    </row>
    <row r="202" spans="9:9" x14ac:dyDescent="0.3">
      <c r="I202" s="1"/>
    </row>
    <row r="203" spans="9:9" x14ac:dyDescent="0.3">
      <c r="I203" s="1"/>
    </row>
    <row r="204" spans="9:9" x14ac:dyDescent="0.3">
      <c r="I204" s="1"/>
    </row>
    <row r="205" spans="9:9" x14ac:dyDescent="0.3">
      <c r="I205" s="1"/>
    </row>
    <row r="206" spans="9:9" x14ac:dyDescent="0.3">
      <c r="I206" s="1"/>
    </row>
    <row r="207" spans="9:9" x14ac:dyDescent="0.3">
      <c r="I207" s="1"/>
    </row>
    <row r="208" spans="9:9" x14ac:dyDescent="0.3">
      <c r="I208" s="1"/>
    </row>
    <row r="209" spans="9:9" x14ac:dyDescent="0.3">
      <c r="I209" s="1"/>
    </row>
    <row r="210" spans="9:9" x14ac:dyDescent="0.3">
      <c r="I210" s="1"/>
    </row>
    <row r="211" spans="9:9" x14ac:dyDescent="0.3">
      <c r="I211" s="1"/>
    </row>
    <row r="212" spans="9:9" x14ac:dyDescent="0.3">
      <c r="I212" s="1"/>
    </row>
    <row r="213" spans="9:9" x14ac:dyDescent="0.3">
      <c r="I213" s="1"/>
    </row>
    <row r="214" spans="9:9" x14ac:dyDescent="0.3">
      <c r="I214" s="1"/>
    </row>
    <row r="215" spans="9:9" x14ac:dyDescent="0.3">
      <c r="I215" s="1"/>
    </row>
    <row r="216" spans="9:9" x14ac:dyDescent="0.3">
      <c r="I216" s="1"/>
    </row>
    <row r="217" spans="9:9" x14ac:dyDescent="0.3">
      <c r="I217" s="1"/>
    </row>
    <row r="218" spans="9:9" x14ac:dyDescent="0.3">
      <c r="I218" s="1"/>
    </row>
    <row r="219" spans="9:9" x14ac:dyDescent="0.3">
      <c r="I219" s="1"/>
    </row>
    <row r="220" spans="9:9" x14ac:dyDescent="0.3">
      <c r="I220" s="1"/>
    </row>
    <row r="221" spans="9:9" x14ac:dyDescent="0.3">
      <c r="I221" s="1"/>
    </row>
    <row r="222" spans="9:9" x14ac:dyDescent="0.3">
      <c r="I222" s="1"/>
    </row>
    <row r="223" spans="9:9" x14ac:dyDescent="0.3">
      <c r="I223" s="1"/>
    </row>
    <row r="224" spans="9:9" x14ac:dyDescent="0.3">
      <c r="I224" s="1"/>
    </row>
    <row r="225" spans="9:9" x14ac:dyDescent="0.3">
      <c r="I225" s="1"/>
    </row>
    <row r="226" spans="9:9" x14ac:dyDescent="0.3">
      <c r="I226" s="1"/>
    </row>
    <row r="227" spans="9:9" x14ac:dyDescent="0.3">
      <c r="I227" s="1"/>
    </row>
    <row r="228" spans="9:9" x14ac:dyDescent="0.3">
      <c r="I228" s="1"/>
    </row>
    <row r="229" spans="9:9" x14ac:dyDescent="0.3">
      <c r="I229" s="1"/>
    </row>
    <row r="230" spans="9:9" x14ac:dyDescent="0.3">
      <c r="I230" s="1"/>
    </row>
    <row r="231" spans="9:9" x14ac:dyDescent="0.3">
      <c r="I231" s="1"/>
    </row>
    <row r="232" spans="9:9" x14ac:dyDescent="0.3">
      <c r="I232" s="1"/>
    </row>
    <row r="233" spans="9:9" x14ac:dyDescent="0.3">
      <c r="I233" s="1"/>
    </row>
    <row r="234" spans="9:9" x14ac:dyDescent="0.3">
      <c r="I234" s="1"/>
    </row>
    <row r="235" spans="9:9" x14ac:dyDescent="0.3">
      <c r="I235" s="1"/>
    </row>
    <row r="236" spans="9:9" x14ac:dyDescent="0.3">
      <c r="I236" s="1"/>
    </row>
    <row r="237" spans="9:9" x14ac:dyDescent="0.3">
      <c r="I237" s="1"/>
    </row>
    <row r="238" spans="9:9" x14ac:dyDescent="0.3">
      <c r="I238" s="1"/>
    </row>
    <row r="239" spans="9:9" x14ac:dyDescent="0.3">
      <c r="I239" s="1"/>
    </row>
    <row r="240" spans="9:9" x14ac:dyDescent="0.3">
      <c r="I240" s="1"/>
    </row>
    <row r="241" spans="9:9" x14ac:dyDescent="0.3">
      <c r="I241" s="1"/>
    </row>
    <row r="242" spans="9:9" x14ac:dyDescent="0.3">
      <c r="I242" s="1"/>
    </row>
    <row r="243" spans="9:9" x14ac:dyDescent="0.3">
      <c r="I243" s="1"/>
    </row>
    <row r="244" spans="9:9" x14ac:dyDescent="0.3">
      <c r="I244" s="1"/>
    </row>
    <row r="245" spans="9:9" x14ac:dyDescent="0.3">
      <c r="I245" s="1"/>
    </row>
    <row r="246" spans="9:9" x14ac:dyDescent="0.3">
      <c r="I246" s="1"/>
    </row>
    <row r="247" spans="9:9" x14ac:dyDescent="0.3">
      <c r="I247" s="1"/>
    </row>
    <row r="248" spans="9:9" x14ac:dyDescent="0.3">
      <c r="I248" s="1"/>
    </row>
    <row r="249" spans="9:9" x14ac:dyDescent="0.3">
      <c r="I249" s="1"/>
    </row>
    <row r="250" spans="9:9" x14ac:dyDescent="0.3">
      <c r="I250" s="1"/>
    </row>
    <row r="251" spans="9:9" x14ac:dyDescent="0.3">
      <c r="I251" s="1"/>
    </row>
    <row r="252" spans="9:9" x14ac:dyDescent="0.3">
      <c r="I252" s="1"/>
    </row>
    <row r="253" spans="9:9" x14ac:dyDescent="0.3">
      <c r="I253" s="1"/>
    </row>
    <row r="254" spans="9:9" x14ac:dyDescent="0.3">
      <c r="I254" s="1"/>
    </row>
    <row r="255" spans="9:9" x14ac:dyDescent="0.3">
      <c r="I255" s="1"/>
    </row>
    <row r="256" spans="9:9" x14ac:dyDescent="0.3">
      <c r="I256" s="1"/>
    </row>
    <row r="257" spans="9:9" x14ac:dyDescent="0.3">
      <c r="I257" s="1"/>
    </row>
    <row r="258" spans="9:9" x14ac:dyDescent="0.3">
      <c r="I258" s="1"/>
    </row>
    <row r="259" spans="9:9" x14ac:dyDescent="0.3">
      <c r="I259" s="1"/>
    </row>
    <row r="260" spans="9:9" x14ac:dyDescent="0.3">
      <c r="I260" s="1"/>
    </row>
    <row r="261" spans="9:9" x14ac:dyDescent="0.3">
      <c r="I261" s="1"/>
    </row>
    <row r="262" spans="9:9" x14ac:dyDescent="0.3">
      <c r="I262" s="1"/>
    </row>
    <row r="263" spans="9:9" x14ac:dyDescent="0.3">
      <c r="I263" s="1"/>
    </row>
    <row r="264" spans="9:9" x14ac:dyDescent="0.3">
      <c r="I264" s="1"/>
    </row>
    <row r="265" spans="9:9" x14ac:dyDescent="0.3">
      <c r="I265" s="1"/>
    </row>
    <row r="266" spans="9:9" x14ac:dyDescent="0.3">
      <c r="I266" s="1"/>
    </row>
    <row r="267" spans="9:9" x14ac:dyDescent="0.3">
      <c r="I267" s="1"/>
    </row>
    <row r="268" spans="9:9" x14ac:dyDescent="0.3">
      <c r="I268" s="1"/>
    </row>
    <row r="269" spans="9:9" x14ac:dyDescent="0.3">
      <c r="I269" s="1"/>
    </row>
    <row r="270" spans="9:9" x14ac:dyDescent="0.3">
      <c r="I270" s="1"/>
    </row>
    <row r="271" spans="9:9" x14ac:dyDescent="0.3">
      <c r="I271" s="1"/>
    </row>
    <row r="272" spans="9:9" x14ac:dyDescent="0.3">
      <c r="I272" s="1"/>
    </row>
    <row r="273" spans="9:9" x14ac:dyDescent="0.3">
      <c r="I273" s="1"/>
    </row>
    <row r="274" spans="9:9" x14ac:dyDescent="0.3">
      <c r="I274" s="1"/>
    </row>
    <row r="275" spans="9:9" x14ac:dyDescent="0.3">
      <c r="I275" s="1"/>
    </row>
    <row r="276" spans="9:9" x14ac:dyDescent="0.3">
      <c r="I276" s="1"/>
    </row>
    <row r="277" spans="9:9" x14ac:dyDescent="0.3">
      <c r="I277" s="1"/>
    </row>
    <row r="278" spans="9:9" x14ac:dyDescent="0.3">
      <c r="I278" s="1"/>
    </row>
    <row r="279" spans="9:9" x14ac:dyDescent="0.3">
      <c r="I279" s="1"/>
    </row>
    <row r="280" spans="9:9" x14ac:dyDescent="0.3">
      <c r="I280" s="1"/>
    </row>
    <row r="281" spans="9:9" x14ac:dyDescent="0.3">
      <c r="I281" s="1"/>
    </row>
    <row r="282" spans="9:9" x14ac:dyDescent="0.3">
      <c r="I282" s="1"/>
    </row>
    <row r="283" spans="9:9" x14ac:dyDescent="0.3">
      <c r="I283" s="1"/>
    </row>
    <row r="284" spans="9:9" x14ac:dyDescent="0.3">
      <c r="I284" s="1"/>
    </row>
    <row r="285" spans="9:9" x14ac:dyDescent="0.3">
      <c r="I285" s="1"/>
    </row>
    <row r="286" spans="9:9" x14ac:dyDescent="0.3">
      <c r="I286" s="1"/>
    </row>
    <row r="287" spans="9:9" x14ac:dyDescent="0.3">
      <c r="I287" s="1"/>
    </row>
    <row r="288" spans="9:9" x14ac:dyDescent="0.3">
      <c r="I288" s="1"/>
    </row>
    <row r="289" spans="9:9" x14ac:dyDescent="0.3">
      <c r="I289" s="1"/>
    </row>
    <row r="290" spans="9:9" x14ac:dyDescent="0.3">
      <c r="I290" s="1"/>
    </row>
    <row r="291" spans="9:9" x14ac:dyDescent="0.3">
      <c r="I291" s="1"/>
    </row>
    <row r="292" spans="9:9" x14ac:dyDescent="0.3">
      <c r="I292" s="1"/>
    </row>
    <row r="293" spans="9:9" x14ac:dyDescent="0.3">
      <c r="I293" s="1"/>
    </row>
    <row r="294" spans="9:9" x14ac:dyDescent="0.3">
      <c r="I294" s="1"/>
    </row>
    <row r="295" spans="9:9" x14ac:dyDescent="0.3">
      <c r="I295" s="1"/>
    </row>
    <row r="296" spans="9:9" x14ac:dyDescent="0.3">
      <c r="I296" s="1"/>
    </row>
    <row r="297" spans="9:9" x14ac:dyDescent="0.3">
      <c r="I297" s="1"/>
    </row>
    <row r="298" spans="9:9" x14ac:dyDescent="0.3">
      <c r="I298" s="1"/>
    </row>
    <row r="299" spans="9:9" x14ac:dyDescent="0.3">
      <c r="I299" s="1"/>
    </row>
    <row r="300" spans="9:9" x14ac:dyDescent="0.3">
      <c r="I300" s="1"/>
    </row>
    <row r="301" spans="9:9" x14ac:dyDescent="0.3">
      <c r="I301" s="1"/>
    </row>
    <row r="302" spans="9:9" x14ac:dyDescent="0.3">
      <c r="I302" s="1"/>
    </row>
    <row r="303" spans="9:9" x14ac:dyDescent="0.3">
      <c r="I303" s="1"/>
    </row>
    <row r="304" spans="9:9" x14ac:dyDescent="0.3">
      <c r="I304" s="1"/>
    </row>
    <row r="305" spans="9:9" x14ac:dyDescent="0.3">
      <c r="I305" s="1"/>
    </row>
    <row r="306" spans="9:9" x14ac:dyDescent="0.3">
      <c r="I306" s="1"/>
    </row>
    <row r="307" spans="9:9" x14ac:dyDescent="0.3">
      <c r="I307" s="1"/>
    </row>
    <row r="308" spans="9:9" x14ac:dyDescent="0.3">
      <c r="I308" s="1"/>
    </row>
    <row r="309" spans="9:9" x14ac:dyDescent="0.3">
      <c r="I309" s="1"/>
    </row>
    <row r="310" spans="9:9" x14ac:dyDescent="0.3">
      <c r="I310" s="1"/>
    </row>
    <row r="311" spans="9:9" x14ac:dyDescent="0.3">
      <c r="I311" s="1"/>
    </row>
    <row r="312" spans="9:9" x14ac:dyDescent="0.3">
      <c r="I312" s="1"/>
    </row>
    <row r="313" spans="9:9" x14ac:dyDescent="0.3">
      <c r="I313" s="1"/>
    </row>
    <row r="314" spans="9:9" x14ac:dyDescent="0.3">
      <c r="I314" s="1"/>
    </row>
    <row r="315" spans="9:9" x14ac:dyDescent="0.3">
      <c r="I315" s="1"/>
    </row>
    <row r="316" spans="9:9" x14ac:dyDescent="0.3">
      <c r="I316" s="1"/>
    </row>
    <row r="317" spans="9:9" x14ac:dyDescent="0.3">
      <c r="I317" s="1"/>
    </row>
    <row r="318" spans="9:9" x14ac:dyDescent="0.3">
      <c r="I318" s="1"/>
    </row>
    <row r="319" spans="9:9" x14ac:dyDescent="0.3">
      <c r="I319" s="1"/>
    </row>
    <row r="320" spans="9:9" x14ac:dyDescent="0.3">
      <c r="I320" s="1"/>
    </row>
    <row r="321" spans="9:9" x14ac:dyDescent="0.3">
      <c r="I321" s="1"/>
    </row>
    <row r="322" spans="9:9" x14ac:dyDescent="0.3">
      <c r="I322" s="1"/>
    </row>
    <row r="323" spans="9:9" x14ac:dyDescent="0.3">
      <c r="I323" s="1"/>
    </row>
    <row r="324" spans="9:9" x14ac:dyDescent="0.3">
      <c r="I324" s="1"/>
    </row>
    <row r="325" spans="9:9" x14ac:dyDescent="0.3">
      <c r="I325" s="1"/>
    </row>
    <row r="326" spans="9:9" x14ac:dyDescent="0.3">
      <c r="I326" s="1"/>
    </row>
    <row r="327" spans="9:9" x14ac:dyDescent="0.3">
      <c r="I327" s="1"/>
    </row>
    <row r="328" spans="9:9" x14ac:dyDescent="0.3">
      <c r="I328" s="1"/>
    </row>
    <row r="329" spans="9:9" x14ac:dyDescent="0.3">
      <c r="I329" s="1"/>
    </row>
    <row r="330" spans="9:9" x14ac:dyDescent="0.3">
      <c r="I330" s="1"/>
    </row>
    <row r="331" spans="9:9" x14ac:dyDescent="0.3">
      <c r="I331" s="1"/>
    </row>
    <row r="332" spans="9:9" x14ac:dyDescent="0.3">
      <c r="I332" s="1"/>
    </row>
    <row r="333" spans="9:9" x14ac:dyDescent="0.3">
      <c r="I333" s="1"/>
    </row>
    <row r="334" spans="9:9" x14ac:dyDescent="0.3">
      <c r="I334" s="1"/>
    </row>
    <row r="335" spans="9:9" x14ac:dyDescent="0.3">
      <c r="I335" s="1"/>
    </row>
    <row r="336" spans="9:9" x14ac:dyDescent="0.3">
      <c r="I336" s="1"/>
    </row>
    <row r="337" spans="9:9" x14ac:dyDescent="0.3">
      <c r="I337" s="1"/>
    </row>
    <row r="338" spans="9:9" x14ac:dyDescent="0.3">
      <c r="I338" s="1"/>
    </row>
    <row r="339" spans="9:9" x14ac:dyDescent="0.3">
      <c r="I339" s="1"/>
    </row>
    <row r="340" spans="9:9" x14ac:dyDescent="0.3">
      <c r="I340" s="1"/>
    </row>
    <row r="341" spans="9:9" x14ac:dyDescent="0.3">
      <c r="I341" s="1"/>
    </row>
    <row r="342" spans="9:9" x14ac:dyDescent="0.3">
      <c r="I342" s="1"/>
    </row>
    <row r="343" spans="9:9" x14ac:dyDescent="0.3">
      <c r="I343" s="1"/>
    </row>
    <row r="344" spans="9:9" x14ac:dyDescent="0.3">
      <c r="I344" s="1"/>
    </row>
    <row r="345" spans="9:9" x14ac:dyDescent="0.3">
      <c r="I345" s="1"/>
    </row>
    <row r="346" spans="9:9" x14ac:dyDescent="0.3">
      <c r="I346" s="1"/>
    </row>
    <row r="347" spans="9:9" x14ac:dyDescent="0.3">
      <c r="I347" s="1"/>
    </row>
    <row r="348" spans="9:9" x14ac:dyDescent="0.3">
      <c r="I348" s="1"/>
    </row>
    <row r="349" spans="9:9" x14ac:dyDescent="0.3">
      <c r="I349" s="1"/>
    </row>
    <row r="350" spans="9:9" x14ac:dyDescent="0.3">
      <c r="I350" s="1"/>
    </row>
    <row r="351" spans="9:9" x14ac:dyDescent="0.3">
      <c r="I351" s="1"/>
    </row>
    <row r="352" spans="9:9" x14ac:dyDescent="0.3">
      <c r="I352" s="1"/>
    </row>
    <row r="353" spans="9:9" x14ac:dyDescent="0.3">
      <c r="I353" s="1"/>
    </row>
    <row r="354" spans="9:9" x14ac:dyDescent="0.3">
      <c r="I354" s="1"/>
    </row>
    <row r="355" spans="9:9" x14ac:dyDescent="0.3">
      <c r="I355" s="1"/>
    </row>
    <row r="356" spans="9:9" x14ac:dyDescent="0.3">
      <c r="I356" s="1"/>
    </row>
    <row r="357" spans="9:9" x14ac:dyDescent="0.3">
      <c r="I357" s="1"/>
    </row>
    <row r="358" spans="9:9" x14ac:dyDescent="0.3">
      <c r="I358" s="1"/>
    </row>
    <row r="359" spans="9:9" x14ac:dyDescent="0.3">
      <c r="I359" s="1"/>
    </row>
    <row r="360" spans="9:9" x14ac:dyDescent="0.3">
      <c r="I360" s="1"/>
    </row>
    <row r="361" spans="9:9" x14ac:dyDescent="0.3">
      <c r="I361" s="1"/>
    </row>
    <row r="362" spans="9:9" x14ac:dyDescent="0.3">
      <c r="I362" s="1"/>
    </row>
    <row r="363" spans="9:9" x14ac:dyDescent="0.3">
      <c r="I363" s="1"/>
    </row>
    <row r="364" spans="9:9" x14ac:dyDescent="0.3">
      <c r="I364" s="1"/>
    </row>
    <row r="365" spans="9:9" x14ac:dyDescent="0.3">
      <c r="I365" s="1"/>
    </row>
    <row r="366" spans="9:9" x14ac:dyDescent="0.3">
      <c r="I366" s="1"/>
    </row>
    <row r="367" spans="9:9" x14ac:dyDescent="0.3">
      <c r="I367" s="1"/>
    </row>
  </sheetData>
  <dataConsolidate/>
  <phoneticPr fontId="15" type="noConversion"/>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2F19-6F60-4079-9B6E-AFBD989BB0C2}">
  <dimension ref="B2:U22"/>
  <sheetViews>
    <sheetView workbookViewId="0">
      <selection activeCell="J11" sqref="J11"/>
    </sheetView>
  </sheetViews>
  <sheetFormatPr defaultRowHeight="14.4" x14ac:dyDescent="0.3"/>
  <cols>
    <col min="2" max="2" width="12" bestFit="1" customWidth="1"/>
    <col min="3" max="7" width="9.33203125" customWidth="1"/>
    <col min="14" max="14" width="10" bestFit="1" customWidth="1"/>
    <col min="15" max="15" width="16.77734375" bestFit="1" customWidth="1"/>
    <col min="16" max="16" width="12.88671875" bestFit="1" customWidth="1"/>
    <col min="17" max="17" width="12.44140625" bestFit="1" customWidth="1"/>
    <col min="18" max="18" width="9.33203125" bestFit="1" customWidth="1"/>
    <col min="19" max="19" width="6.44140625" bestFit="1" customWidth="1"/>
    <col min="20" max="20" width="9.109375" bestFit="1" customWidth="1"/>
    <col min="21" max="21" width="11.88671875" bestFit="1" customWidth="1"/>
  </cols>
  <sheetData>
    <row r="2" spans="2:21" x14ac:dyDescent="0.3">
      <c r="B2" s="4" t="s">
        <v>270</v>
      </c>
      <c r="N2" s="58" t="s">
        <v>121</v>
      </c>
      <c r="O2" s="58" t="s">
        <v>125</v>
      </c>
      <c r="P2" s="58" t="s">
        <v>118</v>
      </c>
      <c r="Q2" s="58" t="s">
        <v>119</v>
      </c>
      <c r="R2" s="58" t="s">
        <v>94</v>
      </c>
      <c r="S2" s="58" t="s">
        <v>88</v>
      </c>
      <c r="T2" s="58" t="s">
        <v>120</v>
      </c>
      <c r="U2" s="58" t="s">
        <v>123</v>
      </c>
    </row>
    <row r="3" spans="2:21" x14ac:dyDescent="0.3">
      <c r="N3" s="32">
        <v>0</v>
      </c>
      <c r="O3" s="32">
        <v>101348.88</v>
      </c>
      <c r="P3" s="13">
        <v>619</v>
      </c>
      <c r="Q3" s="13" t="s">
        <v>128</v>
      </c>
      <c r="R3" s="13" t="s">
        <v>129</v>
      </c>
      <c r="S3" s="13">
        <v>42</v>
      </c>
      <c r="T3" s="13">
        <v>2</v>
      </c>
      <c r="U3" s="13">
        <v>1</v>
      </c>
    </row>
    <row r="4" spans="2:21" x14ac:dyDescent="0.3">
      <c r="B4" s="4" t="s">
        <v>6</v>
      </c>
      <c r="C4">
        <f>SUM(N3:N22,O3:O22)</f>
        <v>2915634.07</v>
      </c>
      <c r="N4" s="32">
        <v>83807.86</v>
      </c>
      <c r="O4" s="32">
        <v>112542.58</v>
      </c>
      <c r="P4" s="13">
        <v>608</v>
      </c>
      <c r="Q4" s="13" t="s">
        <v>131</v>
      </c>
      <c r="R4" s="13" t="s">
        <v>129</v>
      </c>
      <c r="S4" s="13">
        <v>41</v>
      </c>
      <c r="T4" s="13">
        <v>1</v>
      </c>
      <c r="U4" s="13">
        <v>0</v>
      </c>
    </row>
    <row r="5" spans="2:21" x14ac:dyDescent="0.3">
      <c r="B5" s="4" t="s">
        <v>60</v>
      </c>
      <c r="C5">
        <f>SUMIF(Q3:Q22,"Spain",O3:O22)</f>
        <v>656816.27</v>
      </c>
      <c r="D5" t="s">
        <v>272</v>
      </c>
      <c r="N5" s="32">
        <v>159660.79999999999</v>
      </c>
      <c r="O5" s="32">
        <v>113931.57</v>
      </c>
      <c r="P5" s="13">
        <v>502</v>
      </c>
      <c r="Q5" s="13" t="s">
        <v>128</v>
      </c>
      <c r="R5" s="13" t="s">
        <v>129</v>
      </c>
      <c r="S5" s="13">
        <v>42</v>
      </c>
      <c r="T5" s="13">
        <v>8</v>
      </c>
      <c r="U5" s="13">
        <v>1</v>
      </c>
    </row>
    <row r="6" spans="2:21" x14ac:dyDescent="0.3">
      <c r="B6" s="4" t="s">
        <v>38</v>
      </c>
      <c r="C6">
        <f>SUMIFS(O3:O22,Q3:Q22,"France",R3:R22,"Female",U3:U22,1)</f>
        <v>296265.46000000002</v>
      </c>
      <c r="D6" t="s">
        <v>271</v>
      </c>
      <c r="N6" s="32">
        <v>0</v>
      </c>
      <c r="O6" s="32">
        <v>93826.63</v>
      </c>
      <c r="P6" s="13">
        <v>699</v>
      </c>
      <c r="Q6" s="13" t="s">
        <v>128</v>
      </c>
      <c r="R6" s="13" t="s">
        <v>129</v>
      </c>
      <c r="S6" s="13">
        <v>39</v>
      </c>
      <c r="T6" s="13">
        <v>1</v>
      </c>
      <c r="U6" s="13">
        <v>0</v>
      </c>
    </row>
    <row r="7" spans="2:21" x14ac:dyDescent="0.3">
      <c r="N7" s="32">
        <v>125510.82</v>
      </c>
      <c r="O7" s="32">
        <v>79084.100000000006</v>
      </c>
      <c r="P7" s="13">
        <v>850</v>
      </c>
      <c r="Q7" s="13" t="s">
        <v>131</v>
      </c>
      <c r="R7" s="13" t="s">
        <v>129</v>
      </c>
      <c r="S7" s="13">
        <v>43</v>
      </c>
      <c r="T7" s="13">
        <v>2</v>
      </c>
      <c r="U7" s="13">
        <v>1</v>
      </c>
    </row>
    <row r="8" spans="2:21" x14ac:dyDescent="0.3">
      <c r="N8" s="32">
        <v>113755.78</v>
      </c>
      <c r="O8" s="32">
        <v>149756.71</v>
      </c>
      <c r="P8" s="13">
        <v>645</v>
      </c>
      <c r="Q8" s="13" t="s">
        <v>131</v>
      </c>
      <c r="R8" s="13" t="s">
        <v>136</v>
      </c>
      <c r="S8" s="13">
        <v>44</v>
      </c>
      <c r="T8" s="13">
        <v>8</v>
      </c>
      <c r="U8" s="13">
        <v>1</v>
      </c>
    </row>
    <row r="9" spans="2:21" x14ac:dyDescent="0.3">
      <c r="N9" s="32">
        <v>0</v>
      </c>
      <c r="O9" s="32">
        <v>10062.799999999999</v>
      </c>
      <c r="P9" s="13">
        <v>822</v>
      </c>
      <c r="Q9" s="13" t="s">
        <v>128</v>
      </c>
      <c r="R9" s="13" t="s">
        <v>136</v>
      </c>
      <c r="S9" s="13">
        <v>50</v>
      </c>
      <c r="T9" s="13">
        <v>7</v>
      </c>
      <c r="U9" s="13">
        <v>1</v>
      </c>
    </row>
    <row r="10" spans="2:21" x14ac:dyDescent="0.3">
      <c r="N10" s="32">
        <v>115046.74</v>
      </c>
      <c r="O10" s="32">
        <v>119346.88</v>
      </c>
      <c r="P10" s="13">
        <v>376</v>
      </c>
      <c r="Q10" s="13" t="s">
        <v>139</v>
      </c>
      <c r="R10" s="13" t="s">
        <v>129</v>
      </c>
      <c r="S10" s="13">
        <v>29</v>
      </c>
      <c r="T10" s="13">
        <v>4</v>
      </c>
      <c r="U10" s="13">
        <v>1</v>
      </c>
    </row>
    <row r="11" spans="2:21" x14ac:dyDescent="0.3">
      <c r="N11" s="32">
        <v>142051.07</v>
      </c>
      <c r="O11" s="32">
        <v>74940.5</v>
      </c>
      <c r="P11" s="13">
        <v>501</v>
      </c>
      <c r="Q11" s="13" t="s">
        <v>128</v>
      </c>
      <c r="R11" s="13" t="s">
        <v>136</v>
      </c>
      <c r="S11" s="13">
        <v>44</v>
      </c>
      <c r="T11" s="13">
        <v>4</v>
      </c>
      <c r="U11" s="13">
        <v>0</v>
      </c>
    </row>
    <row r="12" spans="2:21" x14ac:dyDescent="0.3">
      <c r="N12" s="32">
        <v>134603.88</v>
      </c>
      <c r="O12" s="32">
        <v>71725.73</v>
      </c>
      <c r="P12" s="13">
        <v>684</v>
      </c>
      <c r="Q12" s="13" t="s">
        <v>128</v>
      </c>
      <c r="R12" s="13" t="s">
        <v>136</v>
      </c>
      <c r="S12" s="13">
        <v>27</v>
      </c>
      <c r="T12" s="13">
        <v>2</v>
      </c>
      <c r="U12" s="13">
        <v>1</v>
      </c>
    </row>
    <row r="13" spans="2:21" x14ac:dyDescent="0.3">
      <c r="N13" s="32">
        <v>102016.72</v>
      </c>
      <c r="O13" s="32">
        <v>80181.119999999995</v>
      </c>
      <c r="P13" s="13">
        <v>528</v>
      </c>
      <c r="Q13" s="13" t="s">
        <v>128</v>
      </c>
      <c r="R13" s="13" t="s">
        <v>136</v>
      </c>
      <c r="S13" s="13">
        <v>31</v>
      </c>
      <c r="T13" s="13">
        <v>6</v>
      </c>
      <c r="U13" s="13">
        <v>0</v>
      </c>
    </row>
    <row r="14" spans="2:21" x14ac:dyDescent="0.3">
      <c r="N14" s="32">
        <v>0</v>
      </c>
      <c r="O14" s="32">
        <v>76390.009999999995</v>
      </c>
      <c r="P14" s="13">
        <v>497</v>
      </c>
      <c r="Q14" s="13" t="s">
        <v>131</v>
      </c>
      <c r="R14" s="13" t="s">
        <v>136</v>
      </c>
      <c r="S14" s="13">
        <v>24</v>
      </c>
      <c r="T14" s="13">
        <v>3</v>
      </c>
      <c r="U14" s="13">
        <v>1</v>
      </c>
    </row>
    <row r="15" spans="2:21" x14ac:dyDescent="0.3">
      <c r="N15" s="32">
        <v>0</v>
      </c>
      <c r="O15" s="32">
        <v>26260.98</v>
      </c>
      <c r="P15" s="13">
        <v>476</v>
      </c>
      <c r="Q15" s="13" t="s">
        <v>128</v>
      </c>
      <c r="R15" s="13" t="s">
        <v>129</v>
      </c>
      <c r="S15" s="13">
        <v>34</v>
      </c>
      <c r="T15" s="13">
        <v>10</v>
      </c>
      <c r="U15" s="13">
        <v>1</v>
      </c>
    </row>
    <row r="16" spans="2:21" x14ac:dyDescent="0.3">
      <c r="N16" s="32">
        <v>0</v>
      </c>
      <c r="O16" s="32">
        <v>190857.79</v>
      </c>
      <c r="P16" s="13">
        <v>549</v>
      </c>
      <c r="Q16" s="13" t="s">
        <v>128</v>
      </c>
      <c r="R16" s="13" t="s">
        <v>129</v>
      </c>
      <c r="S16" s="13">
        <v>25</v>
      </c>
      <c r="T16" s="13">
        <v>5</v>
      </c>
      <c r="U16" s="13">
        <v>0</v>
      </c>
    </row>
    <row r="17" spans="14:21" x14ac:dyDescent="0.3">
      <c r="N17" s="32">
        <v>0</v>
      </c>
      <c r="O17" s="32">
        <v>65951.649999999994</v>
      </c>
      <c r="P17" s="13">
        <v>635</v>
      </c>
      <c r="Q17" s="13" t="s">
        <v>131</v>
      </c>
      <c r="R17" s="13" t="s">
        <v>129</v>
      </c>
      <c r="S17" s="13">
        <v>35</v>
      </c>
      <c r="T17" s="13">
        <v>7</v>
      </c>
      <c r="U17" s="13">
        <v>1</v>
      </c>
    </row>
    <row r="18" spans="14:21" x14ac:dyDescent="0.3">
      <c r="N18" s="32">
        <v>143129.41</v>
      </c>
      <c r="O18" s="32">
        <v>64327.26</v>
      </c>
      <c r="P18" s="13">
        <v>616</v>
      </c>
      <c r="Q18" s="13" t="s">
        <v>139</v>
      </c>
      <c r="R18" s="13" t="s">
        <v>136</v>
      </c>
      <c r="S18" s="13">
        <v>45</v>
      </c>
      <c r="T18" s="13">
        <v>3</v>
      </c>
      <c r="U18" s="13">
        <v>0</v>
      </c>
    </row>
    <row r="19" spans="14:21" x14ac:dyDescent="0.3">
      <c r="N19" s="32">
        <v>132602.88</v>
      </c>
      <c r="O19" s="32">
        <v>5097.67</v>
      </c>
      <c r="P19" s="13">
        <v>653</v>
      </c>
      <c r="Q19" s="13" t="s">
        <v>139</v>
      </c>
      <c r="R19" s="13" t="s">
        <v>136</v>
      </c>
      <c r="S19" s="13">
        <v>58</v>
      </c>
      <c r="T19" s="13">
        <v>1</v>
      </c>
      <c r="U19" s="13">
        <v>1</v>
      </c>
    </row>
    <row r="20" spans="14:21" x14ac:dyDescent="0.3">
      <c r="N20" s="32">
        <v>0</v>
      </c>
      <c r="O20" s="32">
        <v>14406.41</v>
      </c>
      <c r="P20" s="13">
        <v>549</v>
      </c>
      <c r="Q20" s="13" t="s">
        <v>131</v>
      </c>
      <c r="R20" s="13" t="s">
        <v>129</v>
      </c>
      <c r="S20" s="13">
        <v>24</v>
      </c>
      <c r="T20" s="13">
        <v>9</v>
      </c>
      <c r="U20" s="13">
        <v>1</v>
      </c>
    </row>
    <row r="21" spans="14:21" x14ac:dyDescent="0.3">
      <c r="N21" s="32">
        <v>0</v>
      </c>
      <c r="O21" s="32">
        <v>158684.81</v>
      </c>
      <c r="P21" s="13">
        <v>587</v>
      </c>
      <c r="Q21" s="13" t="s">
        <v>131</v>
      </c>
      <c r="R21" s="13" t="s">
        <v>136</v>
      </c>
      <c r="S21" s="13">
        <v>45</v>
      </c>
      <c r="T21" s="13">
        <v>6</v>
      </c>
      <c r="U21" s="13">
        <v>0</v>
      </c>
    </row>
    <row r="22" spans="14:21" x14ac:dyDescent="0.3">
      <c r="N22" s="32">
        <v>0</v>
      </c>
      <c r="O22" s="32">
        <v>54724.03</v>
      </c>
      <c r="P22" s="13">
        <v>726</v>
      </c>
      <c r="Q22" s="13" t="s">
        <v>128</v>
      </c>
      <c r="R22" s="13" t="s">
        <v>129</v>
      </c>
      <c r="S22" s="13">
        <v>24</v>
      </c>
      <c r="T22" s="13">
        <v>6</v>
      </c>
      <c r="U22" s="13">
        <v>1</v>
      </c>
    </row>
  </sheetData>
  <autoFilter ref="N2:U22" xr:uid="{80B72F19-6F60-4079-9B6E-AFBD989BB0C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DDF6EA-2C97-4AD6-9043-70F7DD84DC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Pre-Defined Functions</vt:lpstr>
      <vt:lpstr>DATE TIME FUNCTIONS</vt:lpstr>
      <vt:lpstr>STRING FUNCTIONS</vt:lpstr>
      <vt:lpstr>Mathematical Functions</vt:lpstr>
      <vt:lpstr>LOOKUP Functions</vt:lpstr>
      <vt:lpstr>Logical &amp; Error Functions</vt:lpstr>
      <vt:lpstr>Statistical Functions</vt:lpstr>
      <vt:lpstr>Images in Excel</vt:lpstr>
      <vt:lpstr>Formatting in Excel</vt:lpstr>
      <vt:lpstr>Custom Formatting</vt:lpstr>
      <vt:lpstr>Conditional Formatting</vt:lpstr>
      <vt:lpstr>Charts in Excel</vt:lpstr>
      <vt:lpstr>Sheet4</vt:lpstr>
      <vt:lpstr>Data Analysis using Excel</vt:lpstr>
      <vt:lpstr>Data Analysis using Excel 2</vt:lpstr>
      <vt:lpstr>Pivot Table</vt:lpstr>
      <vt:lpstr>Pivot Table 2</vt:lpstr>
      <vt:lpstr>Dashboarding in Excel</vt:lpstr>
      <vt:lpstr>Other Extras</vt:lpstr>
      <vt:lpstr>What-IF tools</vt:lpstr>
      <vt:lpstr>Advanced Excel</vt:lpstr>
      <vt:lpstr>Working with Excel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LENOVO</cp:lastModifiedBy>
  <dcterms:created xsi:type="dcterms:W3CDTF">2015-06-05T18:17:20Z</dcterms:created>
  <dcterms:modified xsi:type="dcterms:W3CDTF">2022-09-14T06:32:04Z</dcterms:modified>
</cp:coreProperties>
</file>