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tabRatio="712" activeTab="6"/>
  </bookViews>
  <sheets>
    <sheet name="Data" sheetId="1" r:id="rId1"/>
    <sheet name="Income Statement " sheetId="2" r:id="rId2"/>
    <sheet name="Balance Sheet" sheetId="3" r:id="rId3"/>
    <sheet name="Ratio Analysis" sheetId="7" r:id="rId4"/>
    <sheet name="Weight Average Cost of Capital " sheetId="4" r:id="rId5"/>
    <sheet name="Intrinsic Growth " sheetId="5" r:id="rId6"/>
    <sheet name="DCF" sheetId="6" r:id="rId7"/>
  </sheets>
  <calcPr calcId="124519"/>
</workbook>
</file>

<file path=xl/calcChain.xml><?xml version="1.0" encoding="utf-8"?>
<calcChain xmlns="http://schemas.openxmlformats.org/spreadsheetml/2006/main">
  <c r="E35" i="7"/>
  <c r="C34"/>
  <c r="D39"/>
  <c r="D21" s="1"/>
  <c r="E39"/>
  <c r="E21" s="1"/>
  <c r="F39"/>
  <c r="F21" s="1"/>
  <c r="G39"/>
  <c r="G21" s="1"/>
  <c r="D38"/>
  <c r="E38"/>
  <c r="F38"/>
  <c r="G38"/>
  <c r="C28"/>
  <c r="D28"/>
  <c r="E28"/>
  <c r="F28"/>
  <c r="G28"/>
  <c r="D23"/>
  <c r="D35" s="1"/>
  <c r="E23"/>
  <c r="F23"/>
  <c r="F35" s="1"/>
  <c r="G23"/>
  <c r="G35" s="1"/>
  <c r="C23"/>
  <c r="C35" s="1"/>
  <c r="D22"/>
  <c r="D34" s="1"/>
  <c r="E22"/>
  <c r="E34" s="1"/>
  <c r="F22"/>
  <c r="F34" s="1"/>
  <c r="G22"/>
  <c r="G34" s="1"/>
  <c r="C22"/>
  <c r="C39"/>
  <c r="C21" s="1"/>
  <c r="D20"/>
  <c r="E20"/>
  <c r="F20"/>
  <c r="G20"/>
  <c r="C20"/>
  <c r="D19"/>
  <c r="E19"/>
  <c r="F19"/>
  <c r="G19"/>
  <c r="C19"/>
  <c r="D16"/>
  <c r="E16"/>
  <c r="F16"/>
  <c r="G16"/>
  <c r="C16"/>
  <c r="D15"/>
  <c r="E15"/>
  <c r="F15"/>
  <c r="G15"/>
  <c r="C15"/>
  <c r="D14"/>
  <c r="E14"/>
  <c r="F14"/>
  <c r="G14"/>
  <c r="C14"/>
  <c r="E12"/>
  <c r="F12" s="1"/>
  <c r="G12" s="1"/>
  <c r="D12"/>
  <c r="H17" i="6" l="1"/>
  <c r="D36" i="2"/>
  <c r="E36"/>
  <c r="F36"/>
  <c r="G36"/>
  <c r="C36"/>
  <c r="D33"/>
  <c r="E33"/>
  <c r="F33"/>
  <c r="G33"/>
  <c r="C33"/>
  <c r="G29"/>
  <c r="D29"/>
  <c r="E29"/>
  <c r="F29"/>
  <c r="C29"/>
  <c r="D27"/>
  <c r="E27"/>
  <c r="F27"/>
  <c r="G27"/>
  <c r="C27"/>
  <c r="F24"/>
  <c r="F27" i="7" s="1"/>
  <c r="G24" i="2"/>
  <c r="G27" i="7" s="1"/>
  <c r="D22" i="2"/>
  <c r="E22"/>
  <c r="F22"/>
  <c r="G22"/>
  <c r="C22"/>
  <c r="D20"/>
  <c r="D24" s="1"/>
  <c r="D27" i="7" s="1"/>
  <c r="E20" i="2"/>
  <c r="E24" s="1"/>
  <c r="E27" i="7" s="1"/>
  <c r="F20" i="2"/>
  <c r="G20"/>
  <c r="C20"/>
  <c r="C24" s="1"/>
  <c r="C27" i="7" s="1"/>
  <c r="D18" i="2"/>
  <c r="D26" i="7" s="1"/>
  <c r="G18" i="2"/>
  <c r="G26" i="7" s="1"/>
  <c r="C18" i="2"/>
  <c r="C26" i="7" s="1"/>
  <c r="D16" i="2"/>
  <c r="E16"/>
  <c r="F16"/>
  <c r="G16"/>
  <c r="C16"/>
  <c r="D14"/>
  <c r="E14"/>
  <c r="E18" s="1"/>
  <c r="F14"/>
  <c r="F18" s="1"/>
  <c r="G14"/>
  <c r="C14"/>
  <c r="D12"/>
  <c r="E12"/>
  <c r="F12"/>
  <c r="G12"/>
  <c r="C12"/>
  <c r="C55" i="6"/>
  <c r="C54"/>
  <c r="C51"/>
  <c r="C42"/>
  <c r="C41"/>
  <c r="D26"/>
  <c r="E26" s="1"/>
  <c r="F26" s="1"/>
  <c r="G26" s="1"/>
  <c r="H26" s="1"/>
  <c r="C19"/>
  <c r="D19"/>
  <c r="E19"/>
  <c r="F19"/>
  <c r="G19"/>
  <c r="H19"/>
  <c r="D14"/>
  <c r="E14" s="1"/>
  <c r="F14" s="1"/>
  <c r="G14" s="1"/>
  <c r="H14" s="1"/>
  <c r="B76" i="5"/>
  <c r="D73"/>
  <c r="E73" s="1"/>
  <c r="F73" s="1"/>
  <c r="G73" s="1"/>
  <c r="D58"/>
  <c r="E58"/>
  <c r="F58"/>
  <c r="G58"/>
  <c r="C58"/>
  <c r="C65" s="1"/>
  <c r="D56"/>
  <c r="E56" s="1"/>
  <c r="F56" s="1"/>
  <c r="G56" s="1"/>
  <c r="D44"/>
  <c r="E44"/>
  <c r="F44"/>
  <c r="G44"/>
  <c r="C44"/>
  <c r="B44"/>
  <c r="C35"/>
  <c r="D35"/>
  <c r="E35"/>
  <c r="F35"/>
  <c r="G35"/>
  <c r="C36"/>
  <c r="D36"/>
  <c r="E36"/>
  <c r="F36"/>
  <c r="G36"/>
  <c r="C37"/>
  <c r="D37"/>
  <c r="E37"/>
  <c r="F37"/>
  <c r="G37"/>
  <c r="C38"/>
  <c r="D38"/>
  <c r="E38"/>
  <c r="F38"/>
  <c r="G38"/>
  <c r="C39"/>
  <c r="D39"/>
  <c r="E39"/>
  <c r="F39"/>
  <c r="G39"/>
  <c r="C40"/>
  <c r="D40"/>
  <c r="E40"/>
  <c r="F40"/>
  <c r="G40"/>
  <c r="C41"/>
  <c r="D41"/>
  <c r="E41"/>
  <c r="F41"/>
  <c r="G41"/>
  <c r="C42"/>
  <c r="D42"/>
  <c r="E42"/>
  <c r="F42"/>
  <c r="G42"/>
  <c r="D34"/>
  <c r="E34"/>
  <c r="F34"/>
  <c r="G34"/>
  <c r="C34"/>
  <c r="B42"/>
  <c r="B35"/>
  <c r="B36"/>
  <c r="B37"/>
  <c r="B38"/>
  <c r="B39"/>
  <c r="B40"/>
  <c r="B41"/>
  <c r="B34"/>
  <c r="C25"/>
  <c r="D25"/>
  <c r="E25"/>
  <c r="F25"/>
  <c r="G25"/>
  <c r="C26"/>
  <c r="D26"/>
  <c r="E26"/>
  <c r="F26"/>
  <c r="G26"/>
  <c r="C27"/>
  <c r="D27"/>
  <c r="E27"/>
  <c r="F27"/>
  <c r="G27"/>
  <c r="D24"/>
  <c r="E24"/>
  <c r="F24"/>
  <c r="G24"/>
  <c r="C24"/>
  <c r="B25"/>
  <c r="B26"/>
  <c r="B27"/>
  <c r="B24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D16"/>
  <c r="E16"/>
  <c r="F16"/>
  <c r="G16"/>
  <c r="C16"/>
  <c r="B17"/>
  <c r="B18"/>
  <c r="B19"/>
  <c r="B20"/>
  <c r="B16"/>
  <c r="D13"/>
  <c r="E13" s="1"/>
  <c r="F13" s="1"/>
  <c r="G13" s="1"/>
  <c r="R57" i="4"/>
  <c r="S56"/>
  <c r="S55"/>
  <c r="R55"/>
  <c r="S47"/>
  <c r="G52"/>
  <c r="G46"/>
  <c r="F48"/>
  <c r="R56"/>
  <c r="S38"/>
  <c r="S39" s="1"/>
  <c r="H38"/>
  <c r="K16"/>
  <c r="K17"/>
  <c r="K18"/>
  <c r="K19"/>
  <c r="K20"/>
  <c r="K21"/>
  <c r="K22"/>
  <c r="K23"/>
  <c r="K24"/>
  <c r="K25"/>
  <c r="K26"/>
  <c r="K27"/>
  <c r="K28"/>
  <c r="K29"/>
  <c r="K15"/>
  <c r="I16"/>
  <c r="I17"/>
  <c r="I18"/>
  <c r="I19"/>
  <c r="I20"/>
  <c r="I21"/>
  <c r="I22"/>
  <c r="I23"/>
  <c r="I24"/>
  <c r="I25"/>
  <c r="I26"/>
  <c r="I27"/>
  <c r="I28"/>
  <c r="I29"/>
  <c r="I15"/>
  <c r="H16"/>
  <c r="H17"/>
  <c r="H18"/>
  <c r="H19"/>
  <c r="H20"/>
  <c r="H21"/>
  <c r="H22"/>
  <c r="H23"/>
  <c r="H24"/>
  <c r="H25"/>
  <c r="H26"/>
  <c r="H27"/>
  <c r="H28"/>
  <c r="H29"/>
  <c r="H15"/>
  <c r="E26" i="7" l="1"/>
  <c r="E26" i="2"/>
  <c r="E31" s="1"/>
  <c r="F26" i="7"/>
  <c r="F26" i="2"/>
  <c r="F31" s="1"/>
  <c r="G26"/>
  <c r="G31" s="1"/>
  <c r="C26"/>
  <c r="C31" s="1"/>
  <c r="D26"/>
  <c r="D31" s="1"/>
  <c r="E28" i="5"/>
  <c r="F43"/>
  <c r="F46" s="1"/>
  <c r="F21"/>
  <c r="G28"/>
  <c r="C43"/>
  <c r="C46" s="1"/>
  <c r="D43"/>
  <c r="D46" s="1"/>
  <c r="C21"/>
  <c r="D21"/>
  <c r="G21"/>
  <c r="G30" s="1"/>
  <c r="C28"/>
  <c r="D28"/>
  <c r="E21"/>
  <c r="F28"/>
  <c r="F30" s="1"/>
  <c r="G43"/>
  <c r="G46" s="1"/>
  <c r="E43"/>
  <c r="E46" s="1"/>
  <c r="E30"/>
  <c r="G47" i="4"/>
  <c r="G48"/>
  <c r="H48" s="1"/>
  <c r="H47" s="1"/>
  <c r="H52" s="1"/>
  <c r="E48" i="5" l="1"/>
  <c r="D30" i="7"/>
  <c r="D61" i="5"/>
  <c r="D35" i="2"/>
  <c r="D37" s="1"/>
  <c r="D29" i="7" s="1"/>
  <c r="D17" i="6"/>
  <c r="D49" i="5"/>
  <c r="F30" i="7"/>
  <c r="F49" i="5"/>
  <c r="F61"/>
  <c r="F35" i="2"/>
  <c r="F37" s="1"/>
  <c r="F29" i="7" s="1"/>
  <c r="F17" i="6"/>
  <c r="G30" i="7"/>
  <c r="G61" i="5"/>
  <c r="G35" i="2"/>
  <c r="G37" s="1"/>
  <c r="G29" i="7" s="1"/>
  <c r="G17" i="6"/>
  <c r="G49" i="5"/>
  <c r="C30" i="7"/>
  <c r="C17" i="6"/>
  <c r="C61" i="5"/>
  <c r="C49"/>
  <c r="C35" i="2"/>
  <c r="C37" s="1"/>
  <c r="C29" i="7" s="1"/>
  <c r="E30"/>
  <c r="E17" i="6"/>
  <c r="E49" i="5"/>
  <c r="E61"/>
  <c r="E35" i="2"/>
  <c r="E37" s="1"/>
  <c r="E29" i="7" s="1"/>
  <c r="E59" i="5"/>
  <c r="E65" s="1"/>
  <c r="D30"/>
  <c r="D48" s="1"/>
  <c r="F59"/>
  <c r="F65" s="1"/>
  <c r="F48"/>
  <c r="C30"/>
  <c r="G59"/>
  <c r="G65" s="1"/>
  <c r="G48"/>
  <c r="C48" l="1"/>
  <c r="D59"/>
  <c r="D65" s="1"/>
  <c r="E51" l="1"/>
  <c r="E76" s="1"/>
  <c r="C51"/>
  <c r="C76" s="1"/>
  <c r="C63"/>
  <c r="C66" s="1"/>
  <c r="D51"/>
  <c r="D76" s="1"/>
  <c r="E63" l="1"/>
  <c r="E66" s="1"/>
  <c r="E75" s="1"/>
  <c r="E78" s="1"/>
  <c r="F63"/>
  <c r="F66" s="1"/>
  <c r="F75" s="1"/>
  <c r="F51"/>
  <c r="F76" s="1"/>
  <c r="G63"/>
  <c r="G66" s="1"/>
  <c r="G75" s="1"/>
  <c r="G51"/>
  <c r="G76" s="1"/>
  <c r="C21" i="6"/>
  <c r="C25" s="1"/>
  <c r="D63" i="5"/>
  <c r="D66" s="1"/>
  <c r="D75" s="1"/>
  <c r="D78" s="1"/>
  <c r="C75"/>
  <c r="C78" s="1"/>
  <c r="F78" l="1"/>
  <c r="G78"/>
  <c r="C81" s="1"/>
  <c r="C68"/>
  <c r="C69"/>
  <c r="D21" i="6"/>
  <c r="D25" s="1"/>
  <c r="C80" i="5" l="1"/>
  <c r="E21" i="6"/>
  <c r="E25" s="1"/>
  <c r="F21" l="1"/>
  <c r="F25" s="1"/>
  <c r="G21" l="1"/>
  <c r="G25" s="1"/>
  <c r="H21"/>
  <c r="H25" s="1"/>
  <c r="C40" s="1"/>
  <c r="C44" s="1"/>
  <c r="C50" l="1"/>
  <c r="C52" s="1"/>
  <c r="C57" s="1"/>
  <c r="C60" s="1"/>
  <c r="C63" s="1"/>
</calcChain>
</file>

<file path=xl/sharedStrings.xml><?xml version="1.0" encoding="utf-8"?>
<sst xmlns="http://schemas.openxmlformats.org/spreadsheetml/2006/main" count="348" uniqueCount="287">
  <si>
    <t>Profit &amp; Loss account of Hindustan Unilever (in Rs. Cr.)</t>
  </si>
  <si>
    <t xml:space="preserve"> </t>
  </si>
  <si>
    <t>12 mths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</si>
  <si>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</si>
  <si>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</si>
  <si>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</si>
  <si>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</si>
  <si>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</si>
  <si>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</si>
  <si>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</si>
  <si>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</si>
  <si>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</si>
  <si>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</si>
  <si>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</si>
  <si>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</si>
  <si>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</si>
  <si>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</si>
  <si>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</si>
  <si>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</si>
  <si>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</si>
  <si>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</si>
  <si>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</si>
  <si>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</si>
  <si>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</si>
  <si>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</si>
  <si>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</si>
  <si>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</si>
  <si>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Tax For Earlier Years</t>
  </si>
  <si>
    <t>Total Tax Expenses</t>
  </si>
  <si>
    <t>Profit/Loss After Tax And Before ExtraOrdinary Items</t>
  </si>
  <si>
    <t>Profit/Loss From Continuing Operations</t>
  </si>
  <si>
    <t>Profit/Loss For The Period</t>
  </si>
  <si>
    <t>OTHER ADDITIONAL INFORMATION</t>
  </si>
  <si>
    <t>EARNINGS PER SHARE</t>
  </si>
  <si>
    <t>Basic EPS (Rs.)</t>
  </si>
  <si>
    <t>Diluted EPS (Rs.)</t>
  </si>
  <si>
    <t>VALUE OF IMPORTED AND INDIGENIOUS RAW MATERIALS STORES, SPARES AND LOOSE TOOLS</t>
  </si>
  <si>
    <t>Imported Raw Materials</t>
  </si>
  <si>
    <t>Indigenous Raw Materials</t>
  </si>
  <si>
    <t>STORES, SPARES AND LOOSE TOOLS</t>
  </si>
  <si>
    <t>Imported Stores And Spares</t>
  </si>
  <si>
    <t>Indigenous Stores And Spares</t>
  </si>
  <si>
    <t>DIVIDEND AND DIVIDEND PERCENTAGE</t>
  </si>
  <si>
    <t>Equity Share Dividend</t>
  </si>
  <si>
    <t>Tax On Dividend</t>
  </si>
  <si>
    <t>Equity Dividend Rate (%)</t>
  </si>
  <si>
    <t xml:space="preserve">Cash Flow Statement </t>
  </si>
  <si>
    <t>Cash from Operating Activity -</t>
  </si>
  <si>
    <t>Profit from operations</t>
  </si>
  <si>
    <t>Receivables</t>
  </si>
  <si>
    <t>Inventory</t>
  </si>
  <si>
    <t>Payables</t>
  </si>
  <si>
    <t>Loans Advances</t>
  </si>
  <si>
    <t>Operating Deposits</t>
  </si>
  <si>
    <t>Other WC items</t>
  </si>
  <si>
    <t>Working capital changes</t>
  </si>
  <si>
    <t>Direct taxes</t>
  </si>
  <si>
    <t>Other operating items</t>
  </si>
  <si>
    <t>Exceptional CF items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</si>
  <si>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</si>
  <si>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</si>
  <si>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</si>
  <si>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</si>
  <si>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</si>
  <si>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</si>
  <si>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</si>
  <si>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</si>
  <si>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Loans to subsidiaries</t>
  </si>
  <si>
    <t>Redemp n Canc of Shares</t>
  </si>
  <si>
    <t>Acquisition of companies</t>
  </si>
  <si>
    <t>Other investing items</t>
  </si>
  <si>
    <t>Cash from Financing Activity 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</si>
  <si>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</si>
  <si>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</si>
  <si>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</si>
  <si>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</si>
  <si>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</si>
  <si>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</si>
  <si>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</si>
  <si>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</si>
  <si>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</si>
  <si>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</si>
  <si>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</si>
  <si>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</si>
  <si>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</si>
  <si>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</si>
  <si>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</si>
  <si>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</si>
  <si>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</si>
  <si>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</si>
  <si>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</si>
  <si>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</si>
  <si>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</si>
  <si>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</si>
  <si>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</si>
  <si>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</si>
  <si>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</si>
  <si>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</si>
  <si>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</si>
  <si>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</si>
  <si>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</si>
  <si>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</si>
  <si>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</si>
  <si>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</si>
  <si>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</si>
  <si>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</si>
  <si>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</si>
  <si>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</si>
  <si>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</si>
  <si>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</si>
  <si>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</si>
  <si>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</si>
  <si>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</si>
  <si>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</si>
  <si>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</si>
  <si>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</si>
  <si>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</si>
  <si>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</si>
  <si>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</si>
  <si>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</si>
  <si>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</si>
  <si>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</si>
  <si>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</si>
  <si>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</si>
  <si>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</si>
  <si>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</si>
  <si>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</si>
  <si>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</si>
  <si>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</si>
  <si>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</si>
  <si>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</si>
  <si>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</si>
  <si>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</si>
  <si>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</si>
  <si>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</si>
  <si>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Balance Sheet of (in Rs. Cr.)</t>
  </si>
  <si>
    <t>Long Term Borrowings</t>
  </si>
  <si>
    <t>Short Term Borrowings</t>
  </si>
  <si>
    <t>Other Assets</t>
  </si>
  <si>
    <t>Deferred Tax Assets [Net]</t>
  </si>
  <si>
    <t>Raw Materials</t>
  </si>
  <si>
    <t>Stores, Spares And Loose Tools</t>
  </si>
  <si>
    <t>Trade/Other Goods</t>
  </si>
  <si>
    <t>Capital Goods</t>
  </si>
  <si>
    <t>--</t>
  </si>
  <si>
    <t>1. Revenue</t>
  </si>
  <si>
    <t>  - Net Sales</t>
  </si>
  <si>
    <t>2. Cost of goods sold</t>
  </si>
  <si>
    <t>3. Gross profit</t>
  </si>
  <si>
    <t>4. Operating expenses</t>
  </si>
  <si>
    <t>  - Selling, general and administrative (Payroll)</t>
  </si>
  <si>
    <t>  - Other Operating Expenses</t>
  </si>
  <si>
    <t>5. Total operating expenses</t>
  </si>
  <si>
    <t>6. EBITDA</t>
  </si>
  <si>
    <t>7. Depreciation and amortization</t>
  </si>
  <si>
    <t>8. Other Income</t>
  </si>
  <si>
    <t>9. EBIT</t>
  </si>
  <si>
    <t>10. Interest</t>
  </si>
  <si>
    <t>  - Interest expense (Debt)</t>
  </si>
  <si>
    <t>11. EBT</t>
  </si>
  <si>
    <t>12. Income tax expense</t>
  </si>
  <si>
    <t>13. Net Income (Adjusted)</t>
  </si>
  <si>
    <t>Debt/</t>
  </si>
  <si>
    <t>Leverage</t>
  </si>
  <si>
    <t>S.R. NO.</t>
  </si>
  <si>
    <t xml:space="preserve">Company </t>
  </si>
  <si>
    <t xml:space="preserve">Country </t>
  </si>
  <si>
    <t xml:space="preserve">Total Debt </t>
  </si>
  <si>
    <t xml:space="preserve">Total Equity </t>
  </si>
  <si>
    <t xml:space="preserve">Tax Rate </t>
  </si>
  <si>
    <t>Equity</t>
  </si>
  <si>
    <t xml:space="preserve">Capital </t>
  </si>
  <si>
    <r>
      <t>Beta</t>
    </r>
    <r>
      <rPr>
        <vertAlign val="superscript"/>
        <sz val="11"/>
        <color theme="0"/>
        <rFont val="Calibri"/>
        <family val="2"/>
        <scheme val="minor"/>
      </rPr>
      <t xml:space="preserve"> 1</t>
    </r>
  </si>
  <si>
    <r>
      <t>Beta</t>
    </r>
    <r>
      <rPr>
        <vertAlign val="superscript"/>
        <sz val="11"/>
        <color theme="0"/>
        <rFont val="Calibri"/>
        <family val="2"/>
        <scheme val="minor"/>
      </rPr>
      <t xml:space="preserve"> 2</t>
    </r>
  </si>
  <si>
    <t>Hind. Unilever</t>
  </si>
  <si>
    <t>ITC</t>
  </si>
  <si>
    <t>Nestle India</t>
  </si>
  <si>
    <t>Varun Beverages</t>
  </si>
  <si>
    <t>Britannia Inds.</t>
  </si>
  <si>
    <t>Godrej Consumer</t>
  </si>
  <si>
    <t>Tata Consumer</t>
  </si>
  <si>
    <t>United Spirits</t>
  </si>
  <si>
    <t>Marico</t>
  </si>
  <si>
    <t>Dabur India</t>
  </si>
  <si>
    <t>Patanjali Foods</t>
  </si>
  <si>
    <t>Colgate-Palmoliv</t>
  </si>
  <si>
    <t>United Breweries</t>
  </si>
  <si>
    <t>Godfrey Phillips</t>
  </si>
  <si>
    <t>P &amp; G Hygiene</t>
  </si>
  <si>
    <t>India</t>
  </si>
  <si>
    <t xml:space="preserve">Cost of Debt </t>
  </si>
  <si>
    <t xml:space="preserve">Pre- tax cost of Debt </t>
  </si>
  <si>
    <t xml:space="preserve">Post -tax cost of debt </t>
  </si>
  <si>
    <t xml:space="preserve">Cost of Equity  </t>
  </si>
  <si>
    <t>Risk free rate</t>
  </si>
  <si>
    <t xml:space="preserve">Equity risk premium </t>
  </si>
  <si>
    <r>
      <t>Leverage beta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</si>
  <si>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 xml:space="preserve">Cost of EQUITY </t>
  </si>
  <si>
    <t xml:space="preserve">CAPITAL STRUCTURE </t>
  </si>
  <si>
    <t xml:space="preserve">Current </t>
  </si>
  <si>
    <t xml:space="preserve">Target </t>
  </si>
  <si>
    <t xml:space="preserve">Market Capitalism </t>
  </si>
  <si>
    <t xml:space="preserve">Total Capital </t>
  </si>
  <si>
    <t>Leverage Beta</t>
  </si>
  <si>
    <t>Company Median Unlevered Beta</t>
  </si>
  <si>
    <t xml:space="preserve">Target Debt/Equity </t>
  </si>
  <si>
    <t>Tax rate</t>
  </si>
  <si>
    <t xml:space="preserve">Leverage Beta </t>
  </si>
  <si>
    <t xml:space="preserve">Debt/Equity </t>
  </si>
  <si>
    <t xml:space="preserve">Weight Average Cost of Capital </t>
  </si>
  <si>
    <t>Total Cost</t>
  </si>
  <si>
    <t xml:space="preserve">Total Weight </t>
  </si>
  <si>
    <t xml:space="preserve">Debt </t>
  </si>
  <si>
    <t xml:space="preserve">Equity </t>
  </si>
  <si>
    <t xml:space="preserve">Particular </t>
  </si>
  <si>
    <t>Calculation Of Return on Invested Capital (ROIC)</t>
  </si>
  <si>
    <t xml:space="preserve">Current Asset </t>
  </si>
  <si>
    <t xml:space="preserve">Net Current Asset </t>
  </si>
  <si>
    <t xml:space="preserve">Current Liability </t>
  </si>
  <si>
    <t xml:space="preserve">Net Current Libility </t>
  </si>
  <si>
    <t xml:space="preserve">Net Working Capital </t>
  </si>
  <si>
    <t xml:space="preserve">Non Current Asset </t>
  </si>
  <si>
    <t xml:space="preserve">Gross Block </t>
  </si>
  <si>
    <t xml:space="preserve">Net Non Current Asset </t>
  </si>
  <si>
    <t xml:space="preserve">Investing Capital </t>
  </si>
  <si>
    <t>EBIT</t>
  </si>
  <si>
    <t xml:space="preserve"> Return on Invested Capital (ROIC)</t>
  </si>
  <si>
    <t>Calculation OF Reinvestment</t>
  </si>
  <si>
    <t xml:space="preserve">Net Capex </t>
  </si>
  <si>
    <t xml:space="preserve">Change in Working Capital </t>
  </si>
  <si>
    <t xml:space="preserve">EBIT </t>
  </si>
  <si>
    <t xml:space="preserve">Margin Tax Rate </t>
  </si>
  <si>
    <t>EBIT (1-TAX)</t>
  </si>
  <si>
    <t xml:space="preserve">Reinvestment </t>
  </si>
  <si>
    <t xml:space="preserve">Reinvestment  Rate </t>
  </si>
  <si>
    <t xml:space="preserve">5 Year Average </t>
  </si>
  <si>
    <t xml:space="preserve">5 Year Median </t>
  </si>
  <si>
    <t>Calculation of Growth Rate</t>
  </si>
  <si>
    <t xml:space="preserve">Reinvestment Rate </t>
  </si>
  <si>
    <t xml:space="preserve">Intrinsic Growth </t>
  </si>
  <si>
    <t xml:space="preserve">Calculation  of PV of FCFF </t>
  </si>
  <si>
    <t xml:space="preserve">Tax rate </t>
  </si>
  <si>
    <t>EBIT ( 1- TAX )</t>
  </si>
  <si>
    <t>LESS : Reinvestment rate</t>
  </si>
  <si>
    <t xml:space="preserve">Free Cash Flow Statement </t>
  </si>
  <si>
    <t xml:space="preserve">Mid Year Convention </t>
  </si>
  <si>
    <t xml:space="preserve">Discount Factor </t>
  </si>
  <si>
    <t>PV OF FCFF</t>
  </si>
  <si>
    <t xml:space="preserve">Expected Growth </t>
  </si>
  <si>
    <t xml:space="preserve">Terminal Growth </t>
  </si>
  <si>
    <t xml:space="preserve">WACC </t>
  </si>
  <si>
    <t>FCFF (N+1)</t>
  </si>
  <si>
    <t>WACC</t>
  </si>
  <si>
    <t xml:space="preserve">Termial Growth rate </t>
  </si>
  <si>
    <t xml:space="preserve">Caluclatio of Equity Value per Share </t>
  </si>
  <si>
    <t xml:space="preserve">PV OF FCFF </t>
  </si>
  <si>
    <t xml:space="preserve">PV  of Termimal Value </t>
  </si>
  <si>
    <t xml:space="preserve">Value of Operation Asset </t>
  </si>
  <si>
    <t xml:space="preserve">Add : Cash </t>
  </si>
  <si>
    <t xml:space="preserve">Less : Debt </t>
  </si>
  <si>
    <t xml:space="preserve">Value of Equity </t>
  </si>
  <si>
    <t xml:space="preserve">No of Share </t>
  </si>
  <si>
    <t xml:space="preserve">Equity Value per Share </t>
  </si>
  <si>
    <t xml:space="preserve">Share Price </t>
  </si>
  <si>
    <t xml:space="preserve">Discount/Premium </t>
  </si>
  <si>
    <t>#</t>
  </si>
  <si>
    <t>Particulars</t>
  </si>
  <si>
    <t>Liquidity ratios</t>
  </si>
  <si>
    <t>Current ratio</t>
  </si>
  <si>
    <t>Quick (acid test) ratio</t>
  </si>
  <si>
    <t xml:space="preserve">Cash ratio </t>
  </si>
  <si>
    <t>Efficiency ratios</t>
  </si>
  <si>
    <t>Asset turnover ratio</t>
  </si>
  <si>
    <t>Fixed asset turnover ratio</t>
  </si>
  <si>
    <t>Working Capital ratio</t>
  </si>
  <si>
    <t xml:space="preserve">Receivable ratio </t>
  </si>
  <si>
    <t xml:space="preserve">Payable ratio </t>
  </si>
  <si>
    <t>Profitability ratios</t>
  </si>
  <si>
    <t>Gross profit ratio</t>
  </si>
  <si>
    <t>Overhead ratio</t>
  </si>
  <si>
    <t>Return on sales</t>
  </si>
  <si>
    <t>Net profit ratio</t>
  </si>
  <si>
    <t>Return on capital employed</t>
  </si>
  <si>
    <t>Activity ratios</t>
  </si>
  <si>
    <t>Accounts receivable days</t>
  </si>
  <si>
    <t xml:space="preserve">Payable days </t>
  </si>
  <si>
    <t>Working Employed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</si>
</sst>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5" formatCode="General\ &quot;Expected&quot;"/>
    <numFmt numFmtId="166" formatCode="General\ &quot;Actual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4" fillId="2" borderId="0" xfId="0" applyFont="1" applyFill="1"/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9" fontId="0" fillId="0" borderId="2" xfId="0" applyNumberFormat="1" applyBorder="1"/>
    <xf numFmtId="10" fontId="4" fillId="2" borderId="2" xfId="0" applyNumberFormat="1" applyFont="1" applyFill="1" applyBorder="1"/>
    <xf numFmtId="0" fontId="1" fillId="0" borderId="2" xfId="0" applyFont="1" applyBorder="1" applyAlignment="1">
      <alignment horizontal="right"/>
    </xf>
    <xf numFmtId="43" fontId="0" fillId="0" borderId="2" xfId="1" applyFont="1" applyBorder="1"/>
    <xf numFmtId="9" fontId="0" fillId="0" borderId="2" xfId="2" applyFont="1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3" fillId="2" borderId="3" xfId="0" applyFont="1" applyFill="1" applyBorder="1"/>
    <xf numFmtId="0" fontId="4" fillId="2" borderId="3" xfId="0" applyFont="1" applyFill="1" applyBorder="1"/>
    <xf numFmtId="0" fontId="1" fillId="3" borderId="3" xfId="0" applyFont="1" applyFill="1" applyBorder="1"/>
    <xf numFmtId="0" fontId="1" fillId="0" borderId="3" xfId="0" applyFont="1" applyBorder="1"/>
    <xf numFmtId="4" fontId="0" fillId="0" borderId="3" xfId="0" applyNumberFormat="1" applyBorder="1"/>
    <xf numFmtId="1" fontId="0" fillId="0" borderId="3" xfId="2" applyNumberFormat="1" applyFont="1" applyBorder="1"/>
    <xf numFmtId="10" fontId="0" fillId="0" borderId="3" xfId="0" applyNumberFormat="1" applyBorder="1"/>
    <xf numFmtId="2" fontId="0" fillId="0" borderId="3" xfId="0" applyNumberFormat="1" applyBorder="1"/>
    <xf numFmtId="9" fontId="0" fillId="0" borderId="3" xfId="0" applyNumberFormat="1" applyBorder="1"/>
    <xf numFmtId="3" fontId="0" fillId="0" borderId="3" xfId="0" applyNumberFormat="1" applyBorder="1"/>
    <xf numFmtId="43" fontId="0" fillId="0" borderId="3" xfId="1" applyFont="1" applyBorder="1"/>
    <xf numFmtId="0" fontId="0" fillId="0" borderId="3" xfId="0" applyFont="1" applyBorder="1"/>
    <xf numFmtId="0" fontId="9" fillId="0" borderId="0" xfId="0" applyFont="1"/>
    <xf numFmtId="4" fontId="4" fillId="2" borderId="3" xfId="0" applyNumberFormat="1" applyFont="1" applyFill="1" applyBorder="1"/>
    <xf numFmtId="2" fontId="4" fillId="2" borderId="3" xfId="0" applyNumberFormat="1" applyFont="1" applyFill="1" applyBorder="1"/>
    <xf numFmtId="9" fontId="4" fillId="2" borderId="3" xfId="2" applyFont="1" applyFill="1" applyBorder="1"/>
    <xf numFmtId="4" fontId="0" fillId="0" borderId="3" xfId="0" applyNumberFormat="1" applyFont="1" applyBorder="1"/>
    <xf numFmtId="3" fontId="6" fillId="0" borderId="3" xfId="0" applyNumberFormat="1" applyFont="1" applyBorder="1"/>
    <xf numFmtId="17" fontId="0" fillId="0" borderId="3" xfId="0" applyNumberFormat="1" applyBorder="1"/>
    <xf numFmtId="0" fontId="1" fillId="0" borderId="3" xfId="0" applyFont="1" applyBorder="1" applyAlignment="1">
      <alignment horizontal="left" indent="1"/>
    </xf>
    <xf numFmtId="0" fontId="3" fillId="2" borderId="3" xfId="0" applyFont="1" applyFill="1" applyBorder="1" applyAlignment="1">
      <alignment horizontal="left" indent="1"/>
    </xf>
    <xf numFmtId="0" fontId="10" fillId="2" borderId="3" xfId="0" applyNumberFormat="1" applyFont="1" applyFill="1" applyBorder="1" applyAlignment="1">
      <alignment vertical="center"/>
    </xf>
    <xf numFmtId="0" fontId="11" fillId="2" borderId="3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7" fontId="4" fillId="2" borderId="3" xfId="0" applyNumberFormat="1" applyFont="1" applyFill="1" applyBorder="1"/>
    <xf numFmtId="166" fontId="4" fillId="2" borderId="3" xfId="0" applyNumberFormat="1" applyFont="1" applyFill="1" applyBorder="1"/>
    <xf numFmtId="165" fontId="4" fillId="2" borderId="3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25" name="AutoShape 1" descr="Hindustan Unilever Limited Logo"/>
        <xdr:cNvSpPr>
          <a:spLocks noChangeAspect="1" noChangeArrowheads="1"/>
        </xdr:cNvSpPr>
      </xdr:nvSpPr>
      <xdr:spPr bwMode="auto">
        <a:xfrm>
          <a:off x="609600" y="18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26" name="AutoShape 2" descr="Hindustan Unilever Limited Logo"/>
        <xdr:cNvSpPr>
          <a:spLocks noChangeAspect="1" noChangeArrowheads="1"/>
        </xdr:cNvSpPr>
      </xdr:nvSpPr>
      <xdr:spPr bwMode="auto">
        <a:xfrm>
          <a:off x="609600" y="1841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1027" name="AutoShape 3" descr="Hindustan Unilever Limited Logo"/>
        <xdr:cNvSpPr>
          <a:spLocks noChangeAspect="1" noChangeArrowheads="1"/>
        </xdr:cNvSpPr>
      </xdr:nvSpPr>
      <xdr:spPr bwMode="auto">
        <a:xfrm>
          <a:off x="609600" y="3683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11545</xdr:colOff>
      <xdr:row>0</xdr:row>
      <xdr:rowOff>28864</xdr:rowOff>
    </xdr:from>
    <xdr:to>
      <xdr:col>1</xdr:col>
      <xdr:colOff>4750954</xdr:colOff>
      <xdr:row>8</xdr:row>
      <xdr:rowOff>131312</xdr:rowOff>
    </xdr:to>
    <xdr:pic>
      <xdr:nvPicPr>
        <xdr:cNvPr id="5" name="Picture 4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3454" y="28864"/>
          <a:ext cx="4739409" cy="1580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434109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161059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97559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84859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472209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688109</xdr:colOff>
      <xdr:row>9</xdr:row>
      <xdr:rowOff>107066</xdr:rowOff>
    </xdr:to>
    <xdr:pic>
      <xdr:nvPicPr>
        <xdr:cNvPr id="2" name="Picture 1" descr="5f052fa73932cde87ad7f7250bb49be7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84150"/>
          <a:ext cx="4739409" cy="1580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G93"/>
  <sheetViews>
    <sheetView showGridLines="0" topLeftCell="A52" zoomScale="110" zoomScaleNormal="110" workbookViewId="0">
      <selection activeCell="I38" sqref="I38"/>
    </sheetView>
  </sheetViews>
  <sheetFormatPr defaultRowHeight="14.5"/>
  <cols>
    <col min="2" max="2" width="80" bestFit="1" customWidth="1"/>
  </cols>
  <sheetData>
    <row r="10" spans="2:7" ht="15" thickBot="1"/>
    <row r="11" spans="2:7" ht="15" thickBot="1">
      <c r="B11" s="13" t="s">
        <v>0</v>
      </c>
      <c r="C11" s="32">
        <v>44256</v>
      </c>
      <c r="D11" s="32">
        <v>44621</v>
      </c>
      <c r="E11" s="32">
        <v>44986</v>
      </c>
      <c r="F11" s="32">
        <v>45352</v>
      </c>
      <c r="G11" s="32">
        <v>45717</v>
      </c>
    </row>
    <row r="12" spans="2:7" ht="15" thickBot="1">
      <c r="B12" s="13" t="s">
        <v>1</v>
      </c>
      <c r="C12" s="13" t="s">
        <v>2</v>
      </c>
      <c r="D12" s="13" t="s">
        <v>2</v>
      </c>
      <c r="E12" s="13" t="s">
        <v>2</v>
      </c>
      <c r="F12" s="13" t="s">
        <v>2</v>
      </c>
      <c r="G12" s="13" t="s">
        <v>2</v>
      </c>
    </row>
    <row r="13" spans="2:7" ht="15" thickBot="1">
      <c r="B13" s="13" t="s">
        <v>3</v>
      </c>
      <c r="C13" s="13"/>
      <c r="D13" s="13"/>
      <c r="E13" s="13"/>
      <c r="F13" s="13"/>
      <c r="G13" s="13"/>
    </row>
    <row r="14" spans="2:7" ht="15" thickBot="1">
      <c r="B14" s="13" t="s">
        <v>4</v>
      </c>
      <c r="C14" s="18">
        <v>45311</v>
      </c>
      <c r="D14" s="18">
        <v>50336</v>
      </c>
      <c r="E14" s="18">
        <v>58154</v>
      </c>
      <c r="F14" s="18">
        <v>59579</v>
      </c>
      <c r="G14" s="18">
        <v>60680</v>
      </c>
    </row>
    <row r="15" spans="2:7" ht="15" thickBot="1">
      <c r="B15" s="13" t="s">
        <v>5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</row>
    <row r="16" spans="2:7" ht="15" thickBot="1">
      <c r="B16" s="13" t="s">
        <v>6</v>
      </c>
      <c r="C16" s="18">
        <v>45311</v>
      </c>
      <c r="D16" s="18">
        <v>50336</v>
      </c>
      <c r="E16" s="18">
        <v>58154</v>
      </c>
      <c r="F16" s="18">
        <v>59579</v>
      </c>
      <c r="G16" s="18">
        <v>60680</v>
      </c>
    </row>
    <row r="17" spans="2:7" ht="15" thickBot="1">
      <c r="B17" s="13" t="s">
        <v>7</v>
      </c>
      <c r="C17" s="18">
        <v>45996</v>
      </c>
      <c r="D17" s="18">
        <v>51193</v>
      </c>
      <c r="E17" s="18">
        <v>59144</v>
      </c>
      <c r="F17" s="18">
        <v>60469</v>
      </c>
      <c r="G17" s="18">
        <v>61469</v>
      </c>
    </row>
    <row r="18" spans="2:7" ht="15" thickBot="1">
      <c r="B18" s="13" t="s">
        <v>8</v>
      </c>
      <c r="C18" s="13">
        <v>513</v>
      </c>
      <c r="D18" s="13">
        <v>393</v>
      </c>
      <c r="E18" s="13">
        <v>640</v>
      </c>
      <c r="F18" s="13">
        <v>973</v>
      </c>
      <c r="G18" s="18">
        <v>1177</v>
      </c>
    </row>
    <row r="19" spans="2:7" ht="15" thickBot="1">
      <c r="B19" s="13" t="s">
        <v>9</v>
      </c>
      <c r="C19" s="18">
        <v>46509</v>
      </c>
      <c r="D19" s="18">
        <v>51586</v>
      </c>
      <c r="E19" s="18">
        <v>59784</v>
      </c>
      <c r="F19" s="18">
        <v>61442</v>
      </c>
      <c r="G19" s="18">
        <v>62646</v>
      </c>
    </row>
    <row r="20" spans="2:7" ht="15" thickBot="1">
      <c r="B20" s="13" t="s">
        <v>10</v>
      </c>
      <c r="C20" s="13"/>
      <c r="D20" s="13"/>
      <c r="E20" s="13"/>
      <c r="F20" s="13"/>
      <c r="G20" s="13"/>
    </row>
    <row r="21" spans="2:7" ht="15" thickBot="1">
      <c r="B21" s="13" t="s">
        <v>11</v>
      </c>
      <c r="C21" s="18">
        <v>14951</v>
      </c>
      <c r="D21" s="18">
        <v>15869</v>
      </c>
      <c r="E21" s="18">
        <v>19229</v>
      </c>
      <c r="F21" s="18">
        <v>17791</v>
      </c>
      <c r="G21" s="18">
        <v>17698</v>
      </c>
    </row>
    <row r="22" spans="2:7" ht="15" thickBot="1">
      <c r="B22" s="13" t="s">
        <v>12</v>
      </c>
      <c r="C22" s="18">
        <v>7117</v>
      </c>
      <c r="D22" s="18">
        <v>9274</v>
      </c>
      <c r="E22" s="18">
        <v>11968</v>
      </c>
      <c r="F22" s="18">
        <v>11544</v>
      </c>
      <c r="G22" s="18">
        <v>12584</v>
      </c>
    </row>
    <row r="23" spans="2:7" ht="15" thickBot="1">
      <c r="B23" s="13" t="s">
        <v>13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2:7" ht="15" thickBot="1">
      <c r="B24" s="13" t="s">
        <v>14</v>
      </c>
      <c r="C24" s="13">
        <v>-391</v>
      </c>
      <c r="D24" s="13">
        <v>-19</v>
      </c>
      <c r="E24" s="13">
        <v>-53</v>
      </c>
      <c r="F24" s="13">
        <v>-8</v>
      </c>
      <c r="G24" s="13">
        <v>-106</v>
      </c>
    </row>
    <row r="25" spans="2:7" ht="15" thickBot="1">
      <c r="B25" s="13" t="s">
        <v>15</v>
      </c>
      <c r="C25" s="18">
        <v>2229</v>
      </c>
      <c r="D25" s="18">
        <v>2399</v>
      </c>
      <c r="E25" s="18">
        <v>2665</v>
      </c>
      <c r="F25" s="18">
        <v>2782</v>
      </c>
      <c r="G25" s="18">
        <v>2840</v>
      </c>
    </row>
    <row r="26" spans="2:7" ht="15" thickBot="1">
      <c r="B26" s="13" t="s">
        <v>16</v>
      </c>
      <c r="C26" s="13">
        <v>108</v>
      </c>
      <c r="D26" s="13">
        <v>98</v>
      </c>
      <c r="E26" s="13">
        <v>101</v>
      </c>
      <c r="F26" s="13">
        <v>302</v>
      </c>
      <c r="G26" s="13">
        <v>364</v>
      </c>
    </row>
    <row r="27" spans="2:7" ht="15" thickBot="1">
      <c r="B27" s="13" t="s">
        <v>17</v>
      </c>
      <c r="C27" s="18">
        <v>1012</v>
      </c>
      <c r="D27" s="18">
        <v>1025</v>
      </c>
      <c r="E27" s="18">
        <v>1030</v>
      </c>
      <c r="F27" s="18">
        <v>1097</v>
      </c>
      <c r="G27" s="18">
        <v>1224</v>
      </c>
    </row>
    <row r="28" spans="2:7" ht="15" thickBot="1">
      <c r="B28" s="13" t="s">
        <v>18</v>
      </c>
      <c r="C28" s="18">
        <v>10766</v>
      </c>
      <c r="D28" s="18">
        <v>11167</v>
      </c>
      <c r="E28" s="18">
        <v>11703</v>
      </c>
      <c r="F28" s="18">
        <v>14170</v>
      </c>
      <c r="G28" s="18">
        <v>14164</v>
      </c>
    </row>
    <row r="29" spans="2:7" ht="15" thickBot="1">
      <c r="B29" s="13" t="s">
        <v>19</v>
      </c>
      <c r="C29" s="18">
        <v>35792</v>
      </c>
      <c r="D29" s="18">
        <v>39813</v>
      </c>
      <c r="E29" s="18">
        <v>46643</v>
      </c>
      <c r="F29" s="18">
        <v>47678</v>
      </c>
      <c r="G29" s="18">
        <v>48768</v>
      </c>
    </row>
    <row r="30" spans="2:7" ht="15" thickBot="1">
      <c r="B30" s="13" t="s">
        <v>20</v>
      </c>
      <c r="C30" s="18">
        <v>10717</v>
      </c>
      <c r="D30" s="18">
        <v>11773</v>
      </c>
      <c r="E30" s="18">
        <v>13141</v>
      </c>
      <c r="F30" s="18">
        <v>13764</v>
      </c>
      <c r="G30" s="18">
        <v>13878</v>
      </c>
    </row>
    <row r="31" spans="2:7" ht="15" thickBot="1">
      <c r="B31" s="13" t="s">
        <v>21</v>
      </c>
      <c r="C31" s="13">
        <v>-227</v>
      </c>
      <c r="D31" s="13">
        <v>-34</v>
      </c>
      <c r="E31" s="13">
        <v>-62</v>
      </c>
      <c r="F31" s="13">
        <v>-89</v>
      </c>
      <c r="G31" s="13">
        <v>422</v>
      </c>
    </row>
    <row r="32" spans="2:7" ht="15" thickBot="1">
      <c r="B32" s="13" t="s">
        <v>22</v>
      </c>
      <c r="C32" s="18">
        <v>10490</v>
      </c>
      <c r="D32" s="18">
        <v>11739</v>
      </c>
      <c r="E32" s="18">
        <v>13079</v>
      </c>
      <c r="F32" s="18">
        <v>13675</v>
      </c>
      <c r="G32" s="18">
        <v>14300</v>
      </c>
    </row>
    <row r="33" spans="2:7" ht="15" thickBot="1">
      <c r="B33" s="13" t="s">
        <v>23</v>
      </c>
      <c r="C33" s="13"/>
      <c r="D33" s="13"/>
      <c r="E33" s="13"/>
      <c r="F33" s="13"/>
      <c r="G33" s="13"/>
    </row>
    <row r="34" spans="2:7" ht="15" thickBot="1">
      <c r="B34" s="13" t="s">
        <v>24</v>
      </c>
      <c r="C34" s="18">
        <v>2458</v>
      </c>
      <c r="D34" s="18">
        <v>2778</v>
      </c>
      <c r="E34" s="18">
        <v>2922</v>
      </c>
      <c r="F34" s="18">
        <v>3446</v>
      </c>
      <c r="G34" s="18">
        <v>3525</v>
      </c>
    </row>
    <row r="35" spans="2:7" ht="15" thickBot="1">
      <c r="B35" s="13" t="s">
        <v>25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</row>
    <row r="36" spans="2:7" ht="15" thickBot="1">
      <c r="B36" s="13" t="s">
        <v>26</v>
      </c>
      <c r="C36" s="13">
        <v>78</v>
      </c>
      <c r="D36" s="13">
        <v>143</v>
      </c>
      <c r="E36" s="13">
        <v>195</v>
      </c>
      <c r="F36" s="13">
        <v>115</v>
      </c>
      <c r="G36" s="13">
        <v>131</v>
      </c>
    </row>
    <row r="37" spans="2:7" ht="15" thickBot="1">
      <c r="B37" s="13" t="s">
        <v>27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</row>
    <row r="38" spans="2:7" ht="15" thickBot="1">
      <c r="B38" s="13" t="s">
        <v>28</v>
      </c>
      <c r="C38" s="18">
        <v>2536</v>
      </c>
      <c r="D38" s="18">
        <v>2921</v>
      </c>
      <c r="E38" s="18">
        <v>3117</v>
      </c>
      <c r="F38" s="18">
        <v>3561</v>
      </c>
      <c r="G38" s="18">
        <v>3656</v>
      </c>
    </row>
    <row r="39" spans="2:7" ht="15" thickBot="1">
      <c r="B39" s="13" t="s">
        <v>29</v>
      </c>
      <c r="C39" s="18">
        <v>7954</v>
      </c>
      <c r="D39" s="18">
        <v>8818</v>
      </c>
      <c r="E39" s="18">
        <v>9962</v>
      </c>
      <c r="F39" s="18">
        <v>10114</v>
      </c>
      <c r="G39" s="18">
        <v>10644</v>
      </c>
    </row>
    <row r="40" spans="2:7" ht="15" thickBot="1">
      <c r="B40" s="13" t="s">
        <v>30</v>
      </c>
      <c r="C40" s="18">
        <v>7954</v>
      </c>
      <c r="D40" s="18">
        <v>8818</v>
      </c>
      <c r="E40" s="18">
        <v>9962</v>
      </c>
      <c r="F40" s="18">
        <v>10114</v>
      </c>
      <c r="G40" s="18">
        <v>10644</v>
      </c>
    </row>
    <row r="41" spans="2:7" ht="15" thickBot="1">
      <c r="B41" s="13" t="s">
        <v>31</v>
      </c>
      <c r="C41" s="18">
        <v>7954</v>
      </c>
      <c r="D41" s="18">
        <v>8818</v>
      </c>
      <c r="E41" s="18">
        <v>9962</v>
      </c>
      <c r="F41" s="18">
        <v>10114</v>
      </c>
      <c r="G41" s="18">
        <v>10644</v>
      </c>
    </row>
    <row r="42" spans="2:7" ht="15" thickBot="1">
      <c r="B42" s="13" t="s">
        <v>32</v>
      </c>
      <c r="C42" s="13"/>
      <c r="D42" s="13"/>
      <c r="E42" s="13"/>
      <c r="F42" s="13"/>
      <c r="G42" s="13"/>
    </row>
    <row r="43" spans="2:7" ht="15" thickBot="1">
      <c r="B43" s="13" t="s">
        <v>33</v>
      </c>
      <c r="C43" s="13"/>
      <c r="D43" s="13"/>
      <c r="E43" s="13"/>
      <c r="F43" s="13"/>
      <c r="G43" s="13"/>
    </row>
    <row r="44" spans="2:7" ht="15" thickBot="1">
      <c r="B44" s="13" t="s">
        <v>34</v>
      </c>
      <c r="C44" s="13">
        <v>33.85</v>
      </c>
      <c r="D44" s="13">
        <v>37.53</v>
      </c>
      <c r="E44" s="13">
        <v>42.4</v>
      </c>
      <c r="F44" s="13">
        <v>43.05</v>
      </c>
      <c r="G44" s="13">
        <v>45.3</v>
      </c>
    </row>
    <row r="45" spans="2:7" ht="15" thickBot="1">
      <c r="B45" s="13" t="s">
        <v>35</v>
      </c>
      <c r="C45" s="13">
        <v>33.85</v>
      </c>
      <c r="D45" s="13">
        <v>37.53</v>
      </c>
      <c r="E45" s="13">
        <v>42.4</v>
      </c>
      <c r="F45" s="13">
        <v>43.05</v>
      </c>
      <c r="G45" s="13">
        <v>45.3</v>
      </c>
    </row>
    <row r="46" spans="2:7" ht="15" thickBot="1">
      <c r="B46" s="13" t="s">
        <v>36</v>
      </c>
      <c r="C46" s="13"/>
      <c r="D46" s="13"/>
      <c r="E46" s="13"/>
      <c r="F46" s="13"/>
      <c r="G46" s="13"/>
    </row>
    <row r="47" spans="2:7" ht="15" thickBot="1">
      <c r="B47" s="13" t="s">
        <v>37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</row>
    <row r="48" spans="2:7" ht="15" thickBot="1">
      <c r="B48" s="13" t="s">
        <v>38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</row>
    <row r="49" spans="2:7" ht="15" thickBot="1">
      <c r="B49" s="13" t="s">
        <v>39</v>
      </c>
      <c r="C49" s="13"/>
      <c r="D49" s="13"/>
      <c r="E49" s="13"/>
      <c r="F49" s="13"/>
      <c r="G49" s="13"/>
    </row>
    <row r="50" spans="2:7" ht="15" thickBot="1">
      <c r="B50" s="13" t="s">
        <v>40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</row>
    <row r="51" spans="2:7" ht="15" thickBot="1">
      <c r="B51" s="13" t="s">
        <v>41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</row>
    <row r="52" spans="2:7" ht="15" thickBot="1">
      <c r="B52" s="13" t="s">
        <v>42</v>
      </c>
      <c r="C52" s="13"/>
      <c r="D52" s="13"/>
      <c r="E52" s="13"/>
      <c r="F52" s="13"/>
      <c r="G52" s="13"/>
    </row>
    <row r="53" spans="2:7" ht="15" thickBot="1">
      <c r="B53" s="13" t="s">
        <v>43</v>
      </c>
      <c r="C53" s="18">
        <v>8811</v>
      </c>
      <c r="D53" s="18">
        <v>7519</v>
      </c>
      <c r="E53" s="18">
        <v>8459</v>
      </c>
      <c r="F53" s="18">
        <v>9398</v>
      </c>
      <c r="G53" s="18">
        <v>12453</v>
      </c>
    </row>
    <row r="54" spans="2:7" ht="15" thickBot="1">
      <c r="B54" s="13" t="s">
        <v>44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</row>
    <row r="55" spans="2:7" ht="15" thickBot="1">
      <c r="B55" s="13" t="s">
        <v>45</v>
      </c>
      <c r="C55" s="18">
        <v>3100</v>
      </c>
      <c r="D55" s="18">
        <v>3400</v>
      </c>
      <c r="E55" s="18">
        <v>3900</v>
      </c>
      <c r="F55" s="18">
        <v>4200</v>
      </c>
      <c r="G55" s="18">
        <v>5300</v>
      </c>
    </row>
    <row r="58" spans="2:7">
      <c r="B58" s="37" t="s">
        <v>46</v>
      </c>
      <c r="C58" s="37"/>
      <c r="D58" s="37"/>
      <c r="E58" s="37"/>
      <c r="F58" s="37"/>
      <c r="G58" s="37"/>
    </row>
    <row r="59" spans="2:7" ht="15" thickBot="1"/>
    <row r="60" spans="2:7" ht="15" thickBot="1">
      <c r="B60" s="13" t="s">
        <v>214</v>
      </c>
      <c r="C60" s="32">
        <v>44256</v>
      </c>
      <c r="D60" s="32">
        <v>44621</v>
      </c>
      <c r="E60" s="32">
        <v>44986</v>
      </c>
      <c r="F60" s="32">
        <v>45352</v>
      </c>
      <c r="G60" s="32">
        <v>45717</v>
      </c>
    </row>
    <row r="61" spans="2:7" ht="15" thickBot="1">
      <c r="B61" s="13" t="s">
        <v>47</v>
      </c>
      <c r="C61" s="23">
        <v>9163</v>
      </c>
      <c r="D61" s="23">
        <v>9048</v>
      </c>
      <c r="E61" s="23">
        <v>9991</v>
      </c>
      <c r="F61" s="23">
        <v>15469</v>
      </c>
      <c r="G61" s="23">
        <v>11886</v>
      </c>
    </row>
    <row r="62" spans="2:7" ht="15" thickBot="1">
      <c r="B62" s="13" t="s">
        <v>48</v>
      </c>
      <c r="C62" s="23">
        <v>11672</v>
      </c>
      <c r="D62" s="23">
        <v>12829</v>
      </c>
      <c r="E62" s="23">
        <v>14089</v>
      </c>
      <c r="F62" s="23">
        <v>14537</v>
      </c>
      <c r="G62" s="23">
        <v>14942</v>
      </c>
    </row>
    <row r="63" spans="2:7" ht="15" thickBot="1">
      <c r="B63" s="13" t="s">
        <v>49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</row>
    <row r="64" spans="2:7" ht="15" thickBot="1">
      <c r="B64" s="13" t="s">
        <v>50</v>
      </c>
      <c r="C64" s="13">
        <v>-543</v>
      </c>
      <c r="D64" s="13">
        <v>-758</v>
      </c>
      <c r="E64" s="13">
        <v>-339</v>
      </c>
      <c r="F64" s="13">
        <v>74</v>
      </c>
      <c r="G64" s="13">
        <v>-584</v>
      </c>
    </row>
    <row r="65" spans="2:7" ht="15" thickBot="1">
      <c r="B65" s="13" t="s">
        <v>51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</row>
    <row r="66" spans="2:7" ht="15" thickBot="1">
      <c r="B66" s="13" t="s">
        <v>52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</row>
    <row r="67" spans="2:7" ht="15" thickBot="1">
      <c r="B67" s="13" t="s">
        <v>53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</row>
    <row r="68" spans="2:7" ht="15" thickBot="1">
      <c r="B68" s="13" t="s">
        <v>54</v>
      </c>
      <c r="C68" s="13">
        <v>442</v>
      </c>
      <c r="D68" s="13">
        <v>-242</v>
      </c>
      <c r="E68" s="13">
        <v>-621</v>
      </c>
      <c r="F68" s="23">
        <v>1239</v>
      </c>
      <c r="G68" s="13">
        <v>-204</v>
      </c>
    </row>
    <row r="69" spans="2:7" ht="15" thickBot="1">
      <c r="B69" s="13" t="s">
        <v>55</v>
      </c>
      <c r="C69" s="13">
        <v>-101</v>
      </c>
      <c r="D69" s="23">
        <v>-1000</v>
      </c>
      <c r="E69" s="13">
        <v>-960</v>
      </c>
      <c r="F69" s="23">
        <v>1313</v>
      </c>
      <c r="G69" s="13">
        <v>-788</v>
      </c>
    </row>
    <row r="70" spans="2:7" ht="15" thickBot="1">
      <c r="B70" s="13" t="s">
        <v>56</v>
      </c>
      <c r="C70" s="23">
        <v>-2407</v>
      </c>
      <c r="D70" s="23">
        <v>-2784</v>
      </c>
      <c r="E70" s="23">
        <v>-3138</v>
      </c>
      <c r="F70" s="13">
        <v>-381</v>
      </c>
      <c r="G70" s="23">
        <v>-2268</v>
      </c>
    </row>
    <row r="71" spans="2:7" ht="15" thickBot="1">
      <c r="B71" s="13" t="s">
        <v>57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</row>
    <row r="72" spans="2:7" ht="15" thickBot="1">
      <c r="B72" s="13" t="s">
        <v>58</v>
      </c>
      <c r="C72" s="13">
        <v>-1</v>
      </c>
      <c r="D72" s="13">
        <v>3</v>
      </c>
      <c r="E72" s="13">
        <v>0</v>
      </c>
      <c r="F72" s="13">
        <v>0</v>
      </c>
      <c r="G72" s="13">
        <v>0</v>
      </c>
    </row>
    <row r="73" spans="2:7" ht="15" thickBot="1">
      <c r="B73" s="13" t="s">
        <v>59</v>
      </c>
      <c r="C73" s="23">
        <v>-1228</v>
      </c>
      <c r="D73" s="23">
        <v>-1728</v>
      </c>
      <c r="E73" s="23">
        <v>-1484</v>
      </c>
      <c r="F73" s="23">
        <v>-5324</v>
      </c>
      <c r="G73" s="23">
        <v>6473</v>
      </c>
    </row>
    <row r="74" spans="2:7" ht="15" thickBot="1">
      <c r="B74" s="13" t="s">
        <v>60</v>
      </c>
      <c r="C74" s="23">
        <v>-4163</v>
      </c>
      <c r="D74" s="23">
        <v>-1228</v>
      </c>
      <c r="E74" s="23">
        <v>-1192</v>
      </c>
      <c r="F74" s="23">
        <v>-1477</v>
      </c>
      <c r="G74" s="23">
        <v>-1275</v>
      </c>
    </row>
    <row r="75" spans="2:7" ht="15" thickBot="1">
      <c r="B75" s="13" t="s">
        <v>61</v>
      </c>
      <c r="C75" s="13">
        <v>97</v>
      </c>
      <c r="D75" s="13">
        <v>175</v>
      </c>
      <c r="E75" s="13">
        <v>181</v>
      </c>
      <c r="F75" s="13">
        <v>20</v>
      </c>
      <c r="G75" s="13">
        <v>13</v>
      </c>
    </row>
    <row r="76" spans="2:7" ht="15" thickBot="1">
      <c r="B76" s="13" t="s">
        <v>62</v>
      </c>
      <c r="C76" s="23">
        <v>-39920</v>
      </c>
      <c r="D76" s="23">
        <v>-48522</v>
      </c>
      <c r="E76" s="23">
        <v>-22649</v>
      </c>
      <c r="F76" s="23">
        <v>-21337</v>
      </c>
      <c r="G76" s="23">
        <v>-22957</v>
      </c>
    </row>
    <row r="77" spans="2:7" ht="15" thickBot="1">
      <c r="B77" s="13" t="s">
        <v>63</v>
      </c>
      <c r="C77" s="23">
        <v>38486</v>
      </c>
      <c r="D77" s="23">
        <v>47786</v>
      </c>
      <c r="E77" s="23">
        <v>23462</v>
      </c>
      <c r="F77" s="23">
        <v>19846</v>
      </c>
      <c r="G77" s="23">
        <v>23987</v>
      </c>
    </row>
    <row r="78" spans="2:7" ht="15" thickBot="1">
      <c r="B78" s="13" t="s">
        <v>64</v>
      </c>
      <c r="C78" s="13">
        <v>277</v>
      </c>
      <c r="D78" s="13">
        <v>161</v>
      </c>
      <c r="E78" s="13">
        <v>259</v>
      </c>
      <c r="F78" s="13">
        <v>425</v>
      </c>
      <c r="G78" s="13">
        <v>835</v>
      </c>
    </row>
    <row r="79" spans="2:7" ht="15" thickBot="1">
      <c r="B79" s="13" t="s">
        <v>65</v>
      </c>
      <c r="C79" s="13">
        <v>1</v>
      </c>
      <c r="D79" s="13">
        <v>1</v>
      </c>
      <c r="E79" s="13">
        <v>2</v>
      </c>
      <c r="F79" s="13">
        <v>3</v>
      </c>
      <c r="G79" s="13">
        <v>0</v>
      </c>
    </row>
    <row r="80" spans="2:7" ht="15" thickBot="1">
      <c r="B80" s="13" t="s">
        <v>66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</row>
    <row r="81" spans="2:7" ht="15" thickBot="1">
      <c r="B81" s="13" t="s">
        <v>67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</row>
    <row r="82" spans="2:7" ht="15" thickBot="1">
      <c r="B82" s="13" t="s">
        <v>68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</row>
    <row r="83" spans="2:7" ht="15" thickBot="1">
      <c r="B83" s="13" t="s">
        <v>69</v>
      </c>
      <c r="C83" s="13">
        <v>0</v>
      </c>
      <c r="D83" s="13">
        <v>0</v>
      </c>
      <c r="E83" s="13">
        <v>-334</v>
      </c>
      <c r="F83" s="13">
        <v>0</v>
      </c>
      <c r="G83" s="13">
        <v>0</v>
      </c>
    </row>
    <row r="84" spans="2:7" ht="15" thickBot="1">
      <c r="B84" s="13" t="s">
        <v>70</v>
      </c>
      <c r="C84" s="23">
        <v>3994</v>
      </c>
      <c r="D84" s="13">
        <v>-101</v>
      </c>
      <c r="E84" s="23">
        <v>-1213</v>
      </c>
      <c r="F84" s="23">
        <v>-2804</v>
      </c>
      <c r="G84" s="23">
        <v>5870</v>
      </c>
    </row>
    <row r="85" spans="2:7" ht="15" thickBot="1">
      <c r="B85" s="13" t="s">
        <v>71</v>
      </c>
      <c r="C85" s="23">
        <v>-9309</v>
      </c>
      <c r="D85" s="23">
        <v>-8015</v>
      </c>
      <c r="E85" s="23">
        <v>-8953</v>
      </c>
      <c r="F85" s="23">
        <v>-10034</v>
      </c>
      <c r="G85" s="23">
        <v>-13101</v>
      </c>
    </row>
    <row r="86" spans="2:7" ht="15" thickBot="1">
      <c r="B86" s="13" t="s">
        <v>72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</row>
    <row r="87" spans="2:7" ht="15" thickBot="1">
      <c r="B87" s="13" t="s">
        <v>73</v>
      </c>
      <c r="C87" s="13">
        <v>188</v>
      </c>
      <c r="D87" s="13">
        <v>55</v>
      </c>
      <c r="E87" s="13">
        <v>286</v>
      </c>
      <c r="F87" s="13">
        <v>0</v>
      </c>
      <c r="G87" s="13">
        <v>0</v>
      </c>
    </row>
    <row r="88" spans="2:7" ht="15" thickBot="1">
      <c r="B88" s="13" t="s">
        <v>74</v>
      </c>
      <c r="C88" s="13">
        <v>-188</v>
      </c>
      <c r="D88" s="13">
        <v>-55</v>
      </c>
      <c r="E88" s="13">
        <v>-208</v>
      </c>
      <c r="F88" s="13">
        <v>-85</v>
      </c>
      <c r="G88" s="13">
        <v>0</v>
      </c>
    </row>
    <row r="89" spans="2:7" ht="15" thickBot="1">
      <c r="B89" s="13" t="s">
        <v>75</v>
      </c>
      <c r="C89" s="13">
        <v>-92</v>
      </c>
      <c r="D89" s="13">
        <v>-82</v>
      </c>
      <c r="E89" s="13">
        <v>-88</v>
      </c>
      <c r="F89" s="13">
        <v>-110</v>
      </c>
      <c r="G89" s="13">
        <v>-130</v>
      </c>
    </row>
    <row r="90" spans="2:7" ht="15" thickBot="1">
      <c r="B90" s="13" t="s">
        <v>76</v>
      </c>
      <c r="C90" s="23">
        <v>-8811</v>
      </c>
      <c r="D90" s="23">
        <v>-7526</v>
      </c>
      <c r="E90" s="23">
        <v>-8474</v>
      </c>
      <c r="F90" s="23">
        <v>-9416</v>
      </c>
      <c r="G90" s="23">
        <v>-12473</v>
      </c>
    </row>
    <row r="91" spans="2:7" ht="15" thickBot="1">
      <c r="B91" s="13" t="s">
        <v>77</v>
      </c>
      <c r="C91" s="13">
        <v>-406</v>
      </c>
      <c r="D91" s="13">
        <v>-407</v>
      </c>
      <c r="E91" s="13">
        <v>-467</v>
      </c>
      <c r="F91" s="13">
        <v>-423</v>
      </c>
      <c r="G91" s="13">
        <v>-498</v>
      </c>
    </row>
    <row r="92" spans="2:7" ht="15" thickBot="1">
      <c r="B92" s="13" t="s">
        <v>78</v>
      </c>
      <c r="C92" s="13">
        <v>0</v>
      </c>
      <c r="D92" s="13">
        <v>0</v>
      </c>
      <c r="E92" s="13">
        <v>-2</v>
      </c>
      <c r="F92" s="13">
        <v>0</v>
      </c>
      <c r="G92" s="13">
        <v>0</v>
      </c>
    </row>
    <row r="93" spans="2:7" ht="15" thickBot="1">
      <c r="B93" s="13" t="s">
        <v>79</v>
      </c>
      <c r="C93" s="23">
        <v>-1374</v>
      </c>
      <c r="D93" s="13">
        <v>-695</v>
      </c>
      <c r="E93" s="13">
        <v>-446</v>
      </c>
      <c r="F93" s="13">
        <v>111</v>
      </c>
      <c r="G93" s="23">
        <v>5258</v>
      </c>
    </row>
  </sheetData>
  <mergeCells count="1">
    <mergeCell ref="B58:G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1:G37"/>
  <sheetViews>
    <sheetView showGridLines="0" topLeftCell="A7" workbookViewId="0">
      <selection activeCell="J9" sqref="J9"/>
    </sheetView>
  </sheetViews>
  <sheetFormatPr defaultRowHeight="14.5"/>
  <cols>
    <col min="2" max="2" width="44.08984375" bestFit="1" customWidth="1"/>
    <col min="3" max="3" width="8.81640625" bestFit="1" customWidth="1"/>
  </cols>
  <sheetData>
    <row r="11" spans="2:7" ht="15" thickBot="1"/>
    <row r="12" spans="2:7" ht="15" thickBot="1">
      <c r="B12" s="15" t="s">
        <v>214</v>
      </c>
      <c r="C12" s="39">
        <f>Data!C11</f>
        <v>44256</v>
      </c>
      <c r="D12" s="39">
        <f>Data!D11</f>
        <v>44621</v>
      </c>
      <c r="E12" s="39">
        <f>Data!E11</f>
        <v>44986</v>
      </c>
      <c r="F12" s="39">
        <f>Data!F11</f>
        <v>45352</v>
      </c>
      <c r="G12" s="39">
        <f>Data!G11</f>
        <v>45717</v>
      </c>
    </row>
    <row r="13" spans="2:7" ht="15" thickBot="1">
      <c r="B13" s="33" t="s">
        <v>145</v>
      </c>
      <c r="C13" s="18"/>
      <c r="D13" s="18"/>
      <c r="E13" s="18"/>
      <c r="F13" s="18"/>
      <c r="G13" s="18"/>
    </row>
    <row r="14" spans="2:7" ht="15" thickBot="1">
      <c r="B14" s="33" t="s">
        <v>146</v>
      </c>
      <c r="C14" s="18">
        <f>Data!C16</f>
        <v>45311</v>
      </c>
      <c r="D14" s="18">
        <f>Data!D16</f>
        <v>50336</v>
      </c>
      <c r="E14" s="18">
        <f>Data!E16</f>
        <v>58154</v>
      </c>
      <c r="F14" s="18">
        <f>Data!F16</f>
        <v>59579</v>
      </c>
      <c r="G14" s="18">
        <f>Data!G16</f>
        <v>60680</v>
      </c>
    </row>
    <row r="15" spans="2:7" ht="15" thickBot="1">
      <c r="B15" s="33"/>
      <c r="C15" s="13"/>
      <c r="D15" s="13"/>
      <c r="E15" s="13"/>
      <c r="F15" s="13"/>
      <c r="G15" s="13"/>
    </row>
    <row r="16" spans="2:7" ht="15" thickBot="1">
      <c r="B16" s="33" t="s">
        <v>147</v>
      </c>
      <c r="C16" s="18">
        <f>SUM(Data!C22:C24)</f>
        <v>6726</v>
      </c>
      <c r="D16" s="18">
        <f>SUM(Data!D22:D24)</f>
        <v>9255</v>
      </c>
      <c r="E16" s="18">
        <f>SUM(Data!E22:E24)</f>
        <v>11915</v>
      </c>
      <c r="F16" s="18">
        <f>SUM(Data!F22:F24)</f>
        <v>11536</v>
      </c>
      <c r="G16" s="18">
        <f>SUM(Data!G22:G24)</f>
        <v>12478</v>
      </c>
    </row>
    <row r="17" spans="2:7" ht="15" thickBot="1">
      <c r="B17" s="33"/>
      <c r="C17" s="13"/>
      <c r="D17" s="13"/>
      <c r="E17" s="13"/>
      <c r="F17" s="13"/>
      <c r="G17" s="13"/>
    </row>
    <row r="18" spans="2:7" ht="15" thickBot="1">
      <c r="B18" s="34" t="s">
        <v>148</v>
      </c>
      <c r="C18" s="27">
        <f>C14-C16</f>
        <v>38585</v>
      </c>
      <c r="D18" s="27">
        <f t="shared" ref="D18:G18" si="0">D14-D16</f>
        <v>41081</v>
      </c>
      <c r="E18" s="27">
        <f t="shared" si="0"/>
        <v>46239</v>
      </c>
      <c r="F18" s="27">
        <f t="shared" si="0"/>
        <v>48043</v>
      </c>
      <c r="G18" s="27">
        <f t="shared" si="0"/>
        <v>48202</v>
      </c>
    </row>
    <row r="19" spans="2:7" ht="15" thickBot="1">
      <c r="B19" s="33" t="s">
        <v>149</v>
      </c>
      <c r="C19" s="13"/>
      <c r="D19" s="13"/>
      <c r="E19" s="13"/>
      <c r="F19" s="13"/>
      <c r="G19" s="13"/>
    </row>
    <row r="20" spans="2:7" ht="15" thickBot="1">
      <c r="B20" s="33" t="s">
        <v>150</v>
      </c>
      <c r="C20" s="18">
        <f>Data!C25</f>
        <v>2229</v>
      </c>
      <c r="D20" s="18">
        <f>Data!D25</f>
        <v>2399</v>
      </c>
      <c r="E20" s="18">
        <f>Data!E25</f>
        <v>2665</v>
      </c>
      <c r="F20" s="18">
        <f>Data!F25</f>
        <v>2782</v>
      </c>
      <c r="G20" s="18">
        <f>Data!G25</f>
        <v>2840</v>
      </c>
    </row>
    <row r="21" spans="2:7" ht="15" thickBot="1">
      <c r="B21" s="33"/>
      <c r="C21" s="13"/>
      <c r="D21" s="13"/>
      <c r="E21" s="13"/>
      <c r="F21" s="13"/>
      <c r="G21" s="13"/>
    </row>
    <row r="22" spans="2:7" ht="15" thickBot="1">
      <c r="B22" s="33" t="s">
        <v>151</v>
      </c>
      <c r="C22" s="18">
        <f>Data!C28</f>
        <v>10766</v>
      </c>
      <c r="D22" s="18">
        <f>Data!D28</f>
        <v>11167</v>
      </c>
      <c r="E22" s="18">
        <f>Data!E28</f>
        <v>11703</v>
      </c>
      <c r="F22" s="18">
        <f>Data!F28</f>
        <v>14170</v>
      </c>
      <c r="G22" s="18">
        <f>Data!G28</f>
        <v>14164</v>
      </c>
    </row>
    <row r="23" spans="2:7" ht="15" thickBot="1">
      <c r="B23" s="33"/>
      <c r="C23" s="13"/>
      <c r="D23" s="13"/>
      <c r="E23" s="13"/>
      <c r="F23" s="13"/>
      <c r="G23" s="13"/>
    </row>
    <row r="24" spans="2:7" ht="15" thickBot="1">
      <c r="B24" s="33" t="s">
        <v>152</v>
      </c>
      <c r="C24" s="18">
        <f>SUM(C20,C22)</f>
        <v>12995</v>
      </c>
      <c r="D24" s="18">
        <f t="shared" ref="D24:G24" si="1">SUM(D20,D22)</f>
        <v>13566</v>
      </c>
      <c r="E24" s="18">
        <f t="shared" si="1"/>
        <v>14368</v>
      </c>
      <c r="F24" s="18">
        <f t="shared" si="1"/>
        <v>16952</v>
      </c>
      <c r="G24" s="18">
        <f t="shared" si="1"/>
        <v>17004</v>
      </c>
    </row>
    <row r="25" spans="2:7" ht="15" thickBot="1">
      <c r="B25" s="33"/>
      <c r="C25" s="13"/>
      <c r="D25" s="13"/>
      <c r="E25" s="13"/>
      <c r="F25" s="13"/>
      <c r="G25" s="13"/>
    </row>
    <row r="26" spans="2:7" ht="15" thickBot="1">
      <c r="B26" s="34" t="s">
        <v>153</v>
      </c>
      <c r="C26" s="27">
        <f>C18-C24</f>
        <v>25590</v>
      </c>
      <c r="D26" s="27">
        <f t="shared" ref="D26:G26" si="2">D18-D24</f>
        <v>27515</v>
      </c>
      <c r="E26" s="27">
        <f t="shared" si="2"/>
        <v>31871</v>
      </c>
      <c r="F26" s="27">
        <f t="shared" si="2"/>
        <v>31091</v>
      </c>
      <c r="G26" s="27">
        <f t="shared" si="2"/>
        <v>31198</v>
      </c>
    </row>
    <row r="27" spans="2:7" ht="15" thickBot="1">
      <c r="B27" s="33" t="s">
        <v>154</v>
      </c>
      <c r="C27" s="18">
        <f>Data!C27</f>
        <v>1012</v>
      </c>
      <c r="D27" s="18">
        <f>Data!D27</f>
        <v>1025</v>
      </c>
      <c r="E27" s="18">
        <f>Data!E27</f>
        <v>1030</v>
      </c>
      <c r="F27" s="18">
        <f>Data!F27</f>
        <v>1097</v>
      </c>
      <c r="G27" s="18">
        <f>Data!G27</f>
        <v>1224</v>
      </c>
    </row>
    <row r="28" spans="2:7" ht="15" thickBot="1">
      <c r="B28" s="33"/>
      <c r="C28" s="13"/>
      <c r="D28" s="13"/>
      <c r="E28" s="13"/>
      <c r="F28" s="13"/>
      <c r="G28" s="13"/>
    </row>
    <row r="29" spans="2:7" ht="15" thickBot="1">
      <c r="B29" s="33" t="s">
        <v>155</v>
      </c>
      <c r="C29" s="13">
        <f>Data!C18</f>
        <v>513</v>
      </c>
      <c r="D29" s="13">
        <f>Data!D18</f>
        <v>393</v>
      </c>
      <c r="E29" s="13">
        <f>Data!E18</f>
        <v>640</v>
      </c>
      <c r="F29" s="13">
        <f>Data!F18</f>
        <v>973</v>
      </c>
      <c r="G29" s="13">
        <f>Data!G18</f>
        <v>1177</v>
      </c>
    </row>
    <row r="30" spans="2:7" ht="15" thickBot="1">
      <c r="B30" s="33"/>
      <c r="C30" s="13"/>
      <c r="D30" s="13"/>
      <c r="E30" s="13"/>
      <c r="F30" s="13"/>
      <c r="G30" s="13"/>
    </row>
    <row r="31" spans="2:7" ht="15" thickBot="1">
      <c r="B31" s="34" t="s">
        <v>156</v>
      </c>
      <c r="C31" s="27">
        <f>C26+C29-C27</f>
        <v>25091</v>
      </c>
      <c r="D31" s="27">
        <f t="shared" ref="D31:G31" si="3">D26+D29-D27</f>
        <v>26883</v>
      </c>
      <c r="E31" s="27">
        <f t="shared" si="3"/>
        <v>31481</v>
      </c>
      <c r="F31" s="27">
        <f t="shared" si="3"/>
        <v>30967</v>
      </c>
      <c r="G31" s="27">
        <f t="shared" si="3"/>
        <v>31151</v>
      </c>
    </row>
    <row r="32" spans="2:7" ht="15" thickBot="1">
      <c r="B32" s="33" t="s">
        <v>157</v>
      </c>
      <c r="C32" s="13"/>
      <c r="D32" s="13"/>
      <c r="E32" s="13"/>
      <c r="F32" s="13"/>
      <c r="G32" s="13"/>
    </row>
    <row r="33" spans="2:7" ht="15" thickBot="1">
      <c r="B33" s="33" t="s">
        <v>158</v>
      </c>
      <c r="C33" s="13">
        <f>Data!C26</f>
        <v>108</v>
      </c>
      <c r="D33" s="13">
        <f>Data!D26</f>
        <v>98</v>
      </c>
      <c r="E33" s="13">
        <f>Data!E26</f>
        <v>101</v>
      </c>
      <c r="F33" s="13">
        <f>Data!F26</f>
        <v>302</v>
      </c>
      <c r="G33" s="13">
        <f>Data!G26</f>
        <v>364</v>
      </c>
    </row>
    <row r="34" spans="2:7" ht="15" thickBot="1">
      <c r="B34" s="33"/>
      <c r="C34" s="13"/>
      <c r="D34" s="13"/>
      <c r="E34" s="13"/>
      <c r="F34" s="13"/>
      <c r="G34" s="13"/>
    </row>
    <row r="35" spans="2:7" ht="15" thickBot="1">
      <c r="B35" s="34" t="s">
        <v>159</v>
      </c>
      <c r="C35" s="27">
        <f>C31-C33</f>
        <v>24983</v>
      </c>
      <c r="D35" s="27">
        <f t="shared" ref="D35:G35" si="4">D31-D33</f>
        <v>26785</v>
      </c>
      <c r="E35" s="27">
        <f t="shared" si="4"/>
        <v>31380</v>
      </c>
      <c r="F35" s="27">
        <f t="shared" si="4"/>
        <v>30665</v>
      </c>
      <c r="G35" s="27">
        <f t="shared" si="4"/>
        <v>30787</v>
      </c>
    </row>
    <row r="36" spans="2:7" ht="15" thickBot="1">
      <c r="B36" s="33" t="s">
        <v>160</v>
      </c>
      <c r="C36" s="18">
        <f>SUM(Data!C38)</f>
        <v>2536</v>
      </c>
      <c r="D36" s="18">
        <f>SUM(Data!D38)</f>
        <v>2921</v>
      </c>
      <c r="E36" s="18">
        <f>SUM(Data!E38)</f>
        <v>3117</v>
      </c>
      <c r="F36" s="18">
        <f>SUM(Data!F38)</f>
        <v>3561</v>
      </c>
      <c r="G36" s="18">
        <f>SUM(Data!G38)</f>
        <v>3656</v>
      </c>
    </row>
    <row r="37" spans="2:7" ht="15" thickBot="1">
      <c r="B37" s="34" t="s">
        <v>161</v>
      </c>
      <c r="C37" s="27">
        <f>C35-C36</f>
        <v>22447</v>
      </c>
      <c r="D37" s="27">
        <f t="shared" ref="D37:G37" si="5">D35-D36</f>
        <v>23864</v>
      </c>
      <c r="E37" s="27">
        <f t="shared" si="5"/>
        <v>28263</v>
      </c>
      <c r="F37" s="27">
        <f t="shared" si="5"/>
        <v>27104</v>
      </c>
      <c r="G37" s="27">
        <f t="shared" si="5"/>
        <v>27131</v>
      </c>
    </row>
  </sheetData>
  <pageMargins left="0.7" right="0.7" top="0.75" bottom="0.75" header="0.3" footer="0.3"/>
  <pageSetup paperSize="9" orientation="portrait" r:id="rId1"/>
  <ignoredErrors>
    <ignoredError sqref="C16:G1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1:H77"/>
  <sheetViews>
    <sheetView showGridLines="0" workbookViewId="0">
      <selection activeCell="K11" sqref="K11"/>
    </sheetView>
  </sheetViews>
  <sheetFormatPr defaultRowHeight="14.5"/>
  <cols>
    <col min="2" max="2" width="47.90625" bestFit="1" customWidth="1"/>
    <col min="3" max="7" width="8.81640625" bestFit="1" customWidth="1"/>
  </cols>
  <sheetData>
    <row r="11" spans="2:7" ht="15" thickBot="1"/>
    <row r="12" spans="2:7" ht="15" thickBot="1">
      <c r="B12" s="15" t="s">
        <v>135</v>
      </c>
      <c r="C12" s="39">
        <v>44256</v>
      </c>
      <c r="D12" s="39">
        <v>44621</v>
      </c>
      <c r="E12" s="39">
        <v>44986</v>
      </c>
      <c r="F12" s="39">
        <v>45352</v>
      </c>
      <c r="G12" s="39">
        <v>45717</v>
      </c>
    </row>
    <row r="13" spans="2:7" ht="15" thickBot="1">
      <c r="B13" s="13" t="s">
        <v>1</v>
      </c>
      <c r="C13" s="13" t="s">
        <v>2</v>
      </c>
      <c r="D13" s="13" t="s">
        <v>2</v>
      </c>
      <c r="E13" s="13" t="s">
        <v>2</v>
      </c>
      <c r="F13" s="13" t="s">
        <v>2</v>
      </c>
      <c r="G13" s="13" t="s">
        <v>2</v>
      </c>
    </row>
    <row r="14" spans="2:7" ht="15" thickBot="1">
      <c r="B14" s="15" t="s">
        <v>80</v>
      </c>
      <c r="C14" s="15"/>
      <c r="D14" s="15"/>
      <c r="E14" s="15"/>
      <c r="F14" s="15"/>
      <c r="G14" s="15"/>
    </row>
    <row r="15" spans="2:7" ht="15" thickBot="1">
      <c r="B15" s="15" t="s">
        <v>81</v>
      </c>
      <c r="C15" s="15"/>
      <c r="D15" s="15"/>
      <c r="E15" s="15"/>
      <c r="F15" s="15"/>
      <c r="G15" s="15"/>
    </row>
    <row r="16" spans="2:7" ht="15" thickBot="1">
      <c r="B16" s="13" t="s">
        <v>82</v>
      </c>
      <c r="C16" s="13">
        <v>235</v>
      </c>
      <c r="D16" s="13">
        <v>235</v>
      </c>
      <c r="E16" s="13">
        <v>235</v>
      </c>
      <c r="F16" s="13">
        <v>235</v>
      </c>
      <c r="G16" s="13">
        <v>235</v>
      </c>
    </row>
    <row r="17" spans="2:8" ht="15" thickBot="1">
      <c r="B17" s="13" t="s">
        <v>83</v>
      </c>
      <c r="C17" s="13">
        <v>235</v>
      </c>
      <c r="D17" s="13">
        <v>235</v>
      </c>
      <c r="E17" s="13">
        <v>235</v>
      </c>
      <c r="F17" s="13">
        <v>235</v>
      </c>
      <c r="G17" s="13">
        <v>235</v>
      </c>
      <c r="H17" s="1"/>
    </row>
    <row r="18" spans="2:8" ht="15" thickBot="1">
      <c r="B18" s="13" t="s">
        <v>84</v>
      </c>
      <c r="C18" s="18">
        <v>47199</v>
      </c>
      <c r="D18" s="18">
        <v>48525</v>
      </c>
      <c r="E18" s="18">
        <v>49986</v>
      </c>
      <c r="F18" s="18">
        <v>50738</v>
      </c>
      <c r="G18" s="18">
        <v>48918</v>
      </c>
    </row>
    <row r="19" spans="2:8" ht="15" thickBot="1">
      <c r="B19" s="13" t="s">
        <v>85</v>
      </c>
      <c r="C19" s="18">
        <v>47199</v>
      </c>
      <c r="D19" s="18">
        <v>48525</v>
      </c>
      <c r="E19" s="18">
        <v>49986</v>
      </c>
      <c r="F19" s="18">
        <v>50738</v>
      </c>
      <c r="G19" s="18">
        <v>48918</v>
      </c>
    </row>
    <row r="20" spans="2:8" ht="15" thickBot="1">
      <c r="B20" s="13" t="s">
        <v>86</v>
      </c>
      <c r="C20" s="18">
        <v>47434</v>
      </c>
      <c r="D20" s="18">
        <v>48760</v>
      </c>
      <c r="E20" s="18">
        <v>50221</v>
      </c>
      <c r="F20" s="18">
        <v>50973</v>
      </c>
      <c r="G20" s="18">
        <v>49153</v>
      </c>
    </row>
    <row r="21" spans="2:8" ht="15" thickBot="1">
      <c r="B21" s="15" t="s">
        <v>87</v>
      </c>
      <c r="C21" s="15"/>
      <c r="D21" s="15"/>
      <c r="E21" s="15"/>
      <c r="F21" s="15"/>
      <c r="G21" s="15"/>
    </row>
    <row r="22" spans="2:8" ht="15" thickBot="1">
      <c r="B22" s="13" t="s">
        <v>136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</row>
    <row r="23" spans="2:8" ht="15" thickBot="1">
      <c r="B23" s="13" t="s">
        <v>88</v>
      </c>
      <c r="C23" s="18">
        <v>5986</v>
      </c>
      <c r="D23" s="18">
        <v>6141</v>
      </c>
      <c r="E23" s="18">
        <v>6325</v>
      </c>
      <c r="F23" s="18">
        <v>6454</v>
      </c>
      <c r="G23" s="18">
        <v>6583</v>
      </c>
    </row>
    <row r="24" spans="2:8" ht="15" thickBot="1">
      <c r="B24" s="13" t="s">
        <v>89</v>
      </c>
      <c r="C24" s="18">
        <v>2304</v>
      </c>
      <c r="D24" s="18">
        <v>2339</v>
      </c>
      <c r="E24" s="18">
        <v>2317</v>
      </c>
      <c r="F24" s="18">
        <v>5695</v>
      </c>
      <c r="G24" s="18">
        <v>5396</v>
      </c>
    </row>
    <row r="25" spans="2:8" ht="15" thickBot="1">
      <c r="B25" s="13" t="s">
        <v>90</v>
      </c>
      <c r="C25" s="18">
        <v>1551</v>
      </c>
      <c r="D25" s="18">
        <v>1553</v>
      </c>
      <c r="E25" s="18">
        <v>1335</v>
      </c>
      <c r="F25" s="18">
        <v>1551</v>
      </c>
      <c r="G25" s="18">
        <v>1509</v>
      </c>
    </row>
    <row r="26" spans="2:8" ht="15" thickBot="1">
      <c r="B26" s="13" t="s">
        <v>91</v>
      </c>
      <c r="C26" s="18">
        <v>9841</v>
      </c>
      <c r="D26" s="18">
        <v>10033</v>
      </c>
      <c r="E26" s="18">
        <v>9977</v>
      </c>
      <c r="F26" s="18">
        <v>13700</v>
      </c>
      <c r="G26" s="18">
        <v>13488</v>
      </c>
    </row>
    <row r="27" spans="2:8" ht="15" thickBot="1">
      <c r="B27" s="15" t="s">
        <v>92</v>
      </c>
      <c r="C27" s="15"/>
      <c r="D27" s="15"/>
      <c r="E27" s="15"/>
      <c r="F27" s="15"/>
      <c r="G27" s="15"/>
    </row>
    <row r="28" spans="2:8" ht="15" thickBot="1">
      <c r="B28" s="13" t="s">
        <v>137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</row>
    <row r="29" spans="2:8" ht="15" thickBot="1">
      <c r="B29" s="13" t="s">
        <v>93</v>
      </c>
      <c r="C29" s="18">
        <v>8627</v>
      </c>
      <c r="D29" s="18">
        <v>8864</v>
      </c>
      <c r="E29" s="18">
        <v>9391</v>
      </c>
      <c r="F29" s="18">
        <v>10148</v>
      </c>
      <c r="G29" s="18">
        <v>10998</v>
      </c>
    </row>
    <row r="30" spans="2:8" ht="15" thickBot="1">
      <c r="B30" s="13" t="s">
        <v>94</v>
      </c>
      <c r="C30" s="18">
        <v>1723</v>
      </c>
      <c r="D30" s="18">
        <v>1746</v>
      </c>
      <c r="E30" s="18">
        <v>1857</v>
      </c>
      <c r="F30" s="18">
        <v>1926</v>
      </c>
      <c r="G30" s="18">
        <v>4013</v>
      </c>
    </row>
    <row r="31" spans="2:8" ht="15" thickBot="1">
      <c r="B31" s="13" t="s">
        <v>95</v>
      </c>
      <c r="C31" s="13">
        <v>491</v>
      </c>
      <c r="D31" s="13">
        <v>334</v>
      </c>
      <c r="E31" s="13">
        <v>379</v>
      </c>
      <c r="F31" s="13">
        <v>329</v>
      </c>
      <c r="G31" s="13">
        <v>661</v>
      </c>
    </row>
    <row r="32" spans="2:8" ht="15" thickBot="1">
      <c r="B32" s="15" t="s">
        <v>96</v>
      </c>
      <c r="C32" s="27">
        <v>10841</v>
      </c>
      <c r="D32" s="27">
        <v>10944</v>
      </c>
      <c r="E32" s="27">
        <v>11627</v>
      </c>
      <c r="F32" s="27">
        <v>12403</v>
      </c>
      <c r="G32" s="27">
        <v>15672</v>
      </c>
    </row>
    <row r="33" spans="2:7" ht="15" thickBot="1">
      <c r="B33" s="15" t="s">
        <v>97</v>
      </c>
      <c r="C33" s="27">
        <v>68116</v>
      </c>
      <c r="D33" s="27">
        <v>69737</v>
      </c>
      <c r="E33" s="27">
        <v>71825</v>
      </c>
      <c r="F33" s="27">
        <v>77076</v>
      </c>
      <c r="G33" s="27">
        <v>78313</v>
      </c>
    </row>
    <row r="34" spans="2:7" ht="15" thickBot="1">
      <c r="B34" s="15" t="s">
        <v>98</v>
      </c>
      <c r="C34" s="15"/>
      <c r="D34" s="15"/>
      <c r="E34" s="15"/>
      <c r="F34" s="15"/>
      <c r="G34" s="15"/>
    </row>
    <row r="35" spans="2:7" ht="15" thickBot="1">
      <c r="B35" s="15" t="s">
        <v>99</v>
      </c>
      <c r="C35" s="15"/>
      <c r="D35" s="15"/>
      <c r="E35" s="15"/>
      <c r="F35" s="15"/>
      <c r="G35" s="15"/>
    </row>
    <row r="36" spans="2:7" ht="15" thickBot="1">
      <c r="B36" s="13" t="s">
        <v>100</v>
      </c>
      <c r="C36" s="18">
        <v>5786</v>
      </c>
      <c r="D36" s="18">
        <v>5813</v>
      </c>
      <c r="E36" s="18">
        <v>6189</v>
      </c>
      <c r="F36" s="18">
        <v>7178</v>
      </c>
      <c r="G36" s="18">
        <v>7710</v>
      </c>
    </row>
    <row r="37" spans="2:7" ht="15" thickBot="1">
      <c r="B37" s="13" t="s">
        <v>101</v>
      </c>
      <c r="C37" s="18">
        <v>45241</v>
      </c>
      <c r="D37" s="18">
        <v>45221</v>
      </c>
      <c r="E37" s="18">
        <v>45216</v>
      </c>
      <c r="F37" s="18">
        <v>45201</v>
      </c>
      <c r="G37" s="18">
        <v>45197</v>
      </c>
    </row>
    <row r="38" spans="2:7" ht="15" thickBot="1">
      <c r="B38" s="13" t="s">
        <v>102</v>
      </c>
      <c r="C38" s="13">
        <v>623</v>
      </c>
      <c r="D38" s="13">
        <v>901</v>
      </c>
      <c r="E38" s="18">
        <v>1020</v>
      </c>
      <c r="F38" s="13">
        <v>915</v>
      </c>
      <c r="G38" s="13">
        <v>956</v>
      </c>
    </row>
    <row r="39" spans="2:7" ht="15" thickBot="1">
      <c r="B39" s="13" t="s">
        <v>138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</row>
    <row r="40" spans="2:7" ht="15" thickBot="1">
      <c r="B40" s="13" t="s">
        <v>103</v>
      </c>
      <c r="C40" s="18">
        <v>51650</v>
      </c>
      <c r="D40" s="18">
        <v>51935</v>
      </c>
      <c r="E40" s="18">
        <v>52425</v>
      </c>
      <c r="F40" s="18">
        <v>53294</v>
      </c>
      <c r="G40" s="18">
        <v>53863</v>
      </c>
    </row>
    <row r="41" spans="2:7" ht="15" thickBot="1">
      <c r="B41" s="13" t="s">
        <v>104</v>
      </c>
      <c r="C41" s="13">
        <v>312</v>
      </c>
      <c r="D41" s="13">
        <v>612</v>
      </c>
      <c r="E41" s="13">
        <v>983</v>
      </c>
      <c r="F41" s="13">
        <v>983</v>
      </c>
      <c r="G41" s="13">
        <v>988</v>
      </c>
    </row>
    <row r="42" spans="2:7" ht="15" thickBot="1">
      <c r="B42" s="13" t="s">
        <v>139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2:7" ht="15" thickBot="1">
      <c r="B43" s="13" t="s">
        <v>105</v>
      </c>
      <c r="C43" s="13">
        <v>520</v>
      </c>
      <c r="D43" s="13">
        <v>541</v>
      </c>
      <c r="E43" s="13">
        <v>339</v>
      </c>
      <c r="F43" s="13">
        <v>392</v>
      </c>
      <c r="G43" s="13">
        <v>332</v>
      </c>
    </row>
    <row r="44" spans="2:7" ht="15" thickBot="1">
      <c r="B44" s="13" t="s">
        <v>106</v>
      </c>
      <c r="C44" s="18">
        <v>1994</v>
      </c>
      <c r="D44" s="18">
        <v>2002</v>
      </c>
      <c r="E44" s="18">
        <v>2029</v>
      </c>
      <c r="F44" s="18">
        <v>2111</v>
      </c>
      <c r="G44" s="18">
        <v>2231</v>
      </c>
    </row>
    <row r="45" spans="2:7" ht="15" thickBot="1">
      <c r="B45" s="13" t="s">
        <v>107</v>
      </c>
      <c r="C45" s="18">
        <v>54476</v>
      </c>
      <c r="D45" s="18">
        <v>55090</v>
      </c>
      <c r="E45" s="18">
        <v>55776</v>
      </c>
      <c r="F45" s="18">
        <v>56780</v>
      </c>
      <c r="G45" s="18">
        <v>57414</v>
      </c>
    </row>
    <row r="46" spans="2:7" ht="15" thickBot="1">
      <c r="B46" s="15" t="s">
        <v>108</v>
      </c>
      <c r="C46" s="15"/>
      <c r="D46" s="15"/>
      <c r="E46" s="15"/>
      <c r="F46" s="15"/>
      <c r="G46" s="15"/>
    </row>
    <row r="47" spans="2:7" ht="15" thickBot="1">
      <c r="B47" s="13" t="s">
        <v>109</v>
      </c>
      <c r="C47" s="18">
        <v>2683</v>
      </c>
      <c r="D47" s="18">
        <v>3510</v>
      </c>
      <c r="E47" s="18">
        <v>2811</v>
      </c>
      <c r="F47" s="18">
        <v>4510</v>
      </c>
      <c r="G47" s="18">
        <v>3614</v>
      </c>
    </row>
    <row r="48" spans="2:7" ht="15" thickBot="1">
      <c r="B48" s="13" t="s">
        <v>110</v>
      </c>
      <c r="C48" s="18">
        <v>3383</v>
      </c>
      <c r="D48" s="18">
        <v>3890</v>
      </c>
      <c r="E48" s="18">
        <v>4031</v>
      </c>
      <c r="F48" s="18">
        <v>3812</v>
      </c>
      <c r="G48" s="18">
        <v>4161</v>
      </c>
    </row>
    <row r="49" spans="2:7" ht="15" thickBot="1">
      <c r="B49" s="13" t="s">
        <v>111</v>
      </c>
      <c r="C49" s="18">
        <v>1648</v>
      </c>
      <c r="D49" s="18">
        <v>1932</v>
      </c>
      <c r="E49" s="18">
        <v>2735</v>
      </c>
      <c r="F49" s="18">
        <v>2690</v>
      </c>
      <c r="G49" s="18">
        <v>3450</v>
      </c>
    </row>
    <row r="50" spans="2:7" ht="15" thickBot="1">
      <c r="B50" s="13" t="s">
        <v>112</v>
      </c>
      <c r="C50" s="18">
        <v>4321</v>
      </c>
      <c r="D50" s="18">
        <v>3618</v>
      </c>
      <c r="E50" s="18">
        <v>4422</v>
      </c>
      <c r="F50" s="18">
        <v>7216</v>
      </c>
      <c r="G50" s="18">
        <v>7293</v>
      </c>
    </row>
    <row r="51" spans="2:7" ht="15" thickBot="1">
      <c r="B51" s="13" t="s">
        <v>113</v>
      </c>
      <c r="C51" s="13">
        <v>0</v>
      </c>
      <c r="D51" s="13">
        <v>34</v>
      </c>
      <c r="E51" s="13">
        <v>35</v>
      </c>
      <c r="F51" s="13">
        <v>37</v>
      </c>
      <c r="G51" s="13">
        <v>45</v>
      </c>
    </row>
    <row r="52" spans="2:7" ht="15" thickBot="1">
      <c r="B52" s="13" t="s">
        <v>114</v>
      </c>
      <c r="C52" s="18">
        <v>1605</v>
      </c>
      <c r="D52" s="18">
        <v>1663</v>
      </c>
      <c r="E52" s="18">
        <v>2015</v>
      </c>
      <c r="F52" s="18">
        <v>2031</v>
      </c>
      <c r="G52" s="18">
        <v>2336</v>
      </c>
    </row>
    <row r="53" spans="2:7" ht="15" thickBot="1">
      <c r="B53" s="15" t="s">
        <v>115</v>
      </c>
      <c r="C53" s="27">
        <v>13640</v>
      </c>
      <c r="D53" s="27">
        <v>14647</v>
      </c>
      <c r="E53" s="27">
        <v>16049</v>
      </c>
      <c r="F53" s="27">
        <v>20296</v>
      </c>
      <c r="G53" s="27">
        <v>20899</v>
      </c>
    </row>
    <row r="54" spans="2:7" ht="15" thickBot="1">
      <c r="B54" s="15" t="s">
        <v>116</v>
      </c>
      <c r="C54" s="27">
        <v>68116</v>
      </c>
      <c r="D54" s="27">
        <v>69737</v>
      </c>
      <c r="E54" s="27">
        <v>71825</v>
      </c>
      <c r="F54" s="27">
        <v>77076</v>
      </c>
      <c r="G54" s="27">
        <v>78313</v>
      </c>
    </row>
    <row r="55" spans="2:7" ht="15" thickBot="1">
      <c r="B55" s="13" t="s">
        <v>32</v>
      </c>
      <c r="C55" s="13"/>
      <c r="D55" s="13"/>
      <c r="E55" s="13"/>
      <c r="F55" s="13"/>
      <c r="G55" s="13"/>
    </row>
    <row r="56" spans="2:7" ht="15" thickBot="1">
      <c r="B56" s="13" t="s">
        <v>117</v>
      </c>
      <c r="C56" s="13"/>
      <c r="D56" s="13"/>
      <c r="E56" s="13"/>
      <c r="F56" s="13"/>
      <c r="G56" s="13"/>
    </row>
    <row r="57" spans="2:7" ht="15" thickBot="1">
      <c r="B57" s="13" t="s">
        <v>118</v>
      </c>
      <c r="C57" s="18">
        <v>2692</v>
      </c>
      <c r="D57" s="18">
        <v>2814</v>
      </c>
      <c r="E57" s="18">
        <v>3137</v>
      </c>
      <c r="F57" s="18">
        <v>2836</v>
      </c>
      <c r="G57" s="18">
        <v>2850</v>
      </c>
    </row>
    <row r="58" spans="2:7" ht="15" thickBot="1">
      <c r="B58" s="13" t="s">
        <v>119</v>
      </c>
      <c r="C58" s="13"/>
      <c r="D58" s="13"/>
      <c r="E58" s="13"/>
      <c r="F58" s="13"/>
      <c r="G58" s="13"/>
    </row>
    <row r="59" spans="2:7" ht="15" thickBot="1">
      <c r="B59" s="13" t="s">
        <v>140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</row>
    <row r="60" spans="2:7" ht="15" thickBot="1">
      <c r="B60" s="13" t="s">
        <v>141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</row>
    <row r="61" spans="2:7" ht="15" thickBot="1">
      <c r="B61" s="13" t="s">
        <v>142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</row>
    <row r="62" spans="2:7" ht="15" thickBot="1">
      <c r="B62" s="13" t="s">
        <v>143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</row>
    <row r="63" spans="2:7" ht="15" thickBot="1">
      <c r="B63" s="13" t="s">
        <v>120</v>
      </c>
      <c r="C63" s="13"/>
      <c r="D63" s="13"/>
      <c r="E63" s="13"/>
      <c r="F63" s="13"/>
      <c r="G63" s="13"/>
    </row>
    <row r="64" spans="2:7" ht="15" thickBot="1">
      <c r="B64" s="13" t="s">
        <v>121</v>
      </c>
      <c r="C64" s="18">
        <v>2635</v>
      </c>
      <c r="D64" s="18">
        <v>3131</v>
      </c>
      <c r="E64" s="18">
        <v>3695</v>
      </c>
      <c r="F64" s="18">
        <v>4463</v>
      </c>
      <c r="G64" s="18">
        <v>6281</v>
      </c>
    </row>
    <row r="65" spans="2:7" ht="15" thickBot="1">
      <c r="B65" s="13" t="s">
        <v>122</v>
      </c>
      <c r="C65" s="13"/>
      <c r="D65" s="13"/>
      <c r="E65" s="13"/>
      <c r="F65" s="13"/>
      <c r="G65" s="13"/>
    </row>
    <row r="66" spans="2:7" ht="15" thickBot="1">
      <c r="B66" s="13" t="s">
        <v>123</v>
      </c>
      <c r="C66" s="13" t="s">
        <v>144</v>
      </c>
      <c r="D66" s="13" t="s">
        <v>144</v>
      </c>
      <c r="E66" s="13" t="s">
        <v>144</v>
      </c>
      <c r="F66" s="13" t="s">
        <v>144</v>
      </c>
      <c r="G66" s="13" t="s">
        <v>144</v>
      </c>
    </row>
    <row r="67" spans="2:7" ht="15" thickBot="1">
      <c r="B67" s="13" t="s">
        <v>124</v>
      </c>
      <c r="C67" s="13"/>
      <c r="D67" s="13"/>
      <c r="E67" s="13"/>
      <c r="F67" s="13"/>
      <c r="G67" s="13"/>
    </row>
    <row r="68" spans="2:7" ht="15" thickBot="1">
      <c r="B68" s="13" t="s">
        <v>125</v>
      </c>
      <c r="C68" s="13" t="s">
        <v>144</v>
      </c>
      <c r="D68" s="13" t="s">
        <v>144</v>
      </c>
      <c r="E68" s="13" t="s">
        <v>144</v>
      </c>
      <c r="F68" s="13" t="s">
        <v>144</v>
      </c>
      <c r="G68" s="13" t="s">
        <v>144</v>
      </c>
    </row>
    <row r="69" spans="2:7" ht="15" thickBot="1">
      <c r="B69" s="13" t="s">
        <v>126</v>
      </c>
      <c r="C69" s="13">
        <v>247</v>
      </c>
      <c r="D69" s="18">
        <v>1527</v>
      </c>
      <c r="E69" s="18">
        <v>1574</v>
      </c>
      <c r="F69" s="18">
        <v>1497</v>
      </c>
      <c r="G69" s="18">
        <v>1485</v>
      </c>
    </row>
    <row r="70" spans="2:7" ht="15" thickBot="1">
      <c r="B70" s="13" t="s">
        <v>127</v>
      </c>
      <c r="C70" s="13"/>
      <c r="D70" s="13"/>
      <c r="E70" s="13"/>
      <c r="F70" s="13"/>
      <c r="G70" s="13"/>
    </row>
    <row r="71" spans="2:7" ht="15" thickBot="1">
      <c r="B71" s="13" t="s">
        <v>128</v>
      </c>
      <c r="C71" s="13">
        <v>131.69</v>
      </c>
      <c r="D71" s="13">
        <v>131.69</v>
      </c>
      <c r="E71" s="13">
        <v>131.69</v>
      </c>
      <c r="F71" s="13">
        <v>131.69</v>
      </c>
      <c r="G71" s="13">
        <v>131.69</v>
      </c>
    </row>
    <row r="72" spans="2:7" ht="15" thickBot="1">
      <c r="B72" s="13" t="s">
        <v>129</v>
      </c>
      <c r="C72" s="13"/>
      <c r="D72" s="13"/>
      <c r="E72" s="13"/>
      <c r="F72" s="13"/>
      <c r="G72" s="13"/>
    </row>
    <row r="73" spans="2:7" ht="15" thickBot="1">
      <c r="B73" s="13" t="s">
        <v>130</v>
      </c>
      <c r="C73" s="13" t="s">
        <v>144</v>
      </c>
      <c r="D73" s="13" t="s">
        <v>144</v>
      </c>
      <c r="E73" s="13" t="s">
        <v>144</v>
      </c>
      <c r="F73" s="13" t="s">
        <v>144</v>
      </c>
      <c r="G73" s="13" t="s">
        <v>144</v>
      </c>
    </row>
    <row r="74" spans="2:7" ht="15" thickBot="1">
      <c r="B74" s="13" t="s">
        <v>131</v>
      </c>
      <c r="C74" s="13">
        <v>2</v>
      </c>
      <c r="D74" s="13">
        <v>2</v>
      </c>
      <c r="E74" s="13">
        <v>1</v>
      </c>
      <c r="F74" s="13">
        <v>1</v>
      </c>
      <c r="G74" s="13">
        <v>2</v>
      </c>
    </row>
    <row r="75" spans="2:7" ht="15" thickBot="1">
      <c r="B75" s="13" t="s">
        <v>132</v>
      </c>
      <c r="C75" s="13"/>
      <c r="D75" s="13"/>
      <c r="E75" s="13"/>
      <c r="F75" s="13"/>
      <c r="G75" s="13"/>
    </row>
    <row r="76" spans="2:7" ht="15" thickBot="1">
      <c r="B76" s="13" t="s">
        <v>133</v>
      </c>
      <c r="C76" s="18">
        <v>2683</v>
      </c>
      <c r="D76" s="18">
        <v>3510</v>
      </c>
      <c r="E76" s="18">
        <v>2811</v>
      </c>
      <c r="F76" s="18">
        <v>4510</v>
      </c>
      <c r="G76" s="18">
        <v>3614</v>
      </c>
    </row>
    <row r="77" spans="2:7" ht="15" thickBot="1">
      <c r="B77" s="13" t="s">
        <v>134</v>
      </c>
      <c r="C77" s="13" t="s">
        <v>144</v>
      </c>
      <c r="D77" s="13" t="s">
        <v>144</v>
      </c>
      <c r="E77" s="13">
        <v>2</v>
      </c>
      <c r="F77" s="13">
        <v>2</v>
      </c>
      <c r="G77" s="13" t="s">
        <v>144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1:G39"/>
  <sheetViews>
    <sheetView showGridLines="0" topLeftCell="A22" workbookViewId="0">
      <selection activeCell="E43" sqref="E43"/>
    </sheetView>
  </sheetViews>
  <sheetFormatPr defaultRowHeight="14.5"/>
  <cols>
    <col min="2" max="2" width="22.81640625" bestFit="1" customWidth="1"/>
  </cols>
  <sheetData>
    <row r="11" spans="2:7" ht="15" thickBot="1"/>
    <row r="12" spans="2:7" ht="15" thickBot="1">
      <c r="B12" s="15" t="s">
        <v>266</v>
      </c>
      <c r="C12" s="15">
        <v>2021</v>
      </c>
      <c r="D12" s="15">
        <f>C12+1</f>
        <v>2022</v>
      </c>
      <c r="E12" s="15">
        <f t="shared" ref="E12:G12" si="0">D12+1</f>
        <v>2023</v>
      </c>
      <c r="F12" s="15">
        <f t="shared" si="0"/>
        <v>2024</v>
      </c>
      <c r="G12" s="15">
        <f t="shared" si="0"/>
        <v>2025</v>
      </c>
    </row>
    <row r="13" spans="2:7" ht="15" thickBot="1">
      <c r="B13" s="35" t="s">
        <v>267</v>
      </c>
      <c r="C13" s="13"/>
      <c r="D13" s="13"/>
      <c r="E13" s="13"/>
      <c r="F13" s="13"/>
      <c r="G13" s="13"/>
    </row>
    <row r="14" spans="2:7" ht="15" thickBot="1">
      <c r="B14" s="36" t="s">
        <v>268</v>
      </c>
      <c r="C14" s="13">
        <f>'Balance Sheet'!C53/'Balance Sheet'!C32</f>
        <v>1.2581865141592103</v>
      </c>
      <c r="D14" s="13">
        <f>'Balance Sheet'!D53/'Balance Sheet'!D32</f>
        <v>1.338358918128655</v>
      </c>
      <c r="E14" s="13">
        <f>'Balance Sheet'!E53/'Balance Sheet'!E32</f>
        <v>1.3803216650898771</v>
      </c>
      <c r="F14" s="13">
        <f>'Balance Sheet'!F53/'Balance Sheet'!F32</f>
        <v>1.6363782955736514</v>
      </c>
      <c r="G14" s="13">
        <f>'Balance Sheet'!G53/'Balance Sheet'!G32</f>
        <v>1.3335247575293516</v>
      </c>
    </row>
    <row r="15" spans="2:7" ht="15" thickBot="1">
      <c r="B15" s="36" t="s">
        <v>269</v>
      </c>
      <c r="C15" s="13">
        <f>('Balance Sheet'!C53-'Balance Sheet'!C48)/'Balance Sheet'!C32</f>
        <v>0.94613043077206904</v>
      </c>
      <c r="D15" s="13">
        <f>('Balance Sheet'!D53-'Balance Sheet'!D48)/'Balance Sheet'!D32</f>
        <v>0.98291301169590639</v>
      </c>
      <c r="E15" s="13">
        <f>('Balance Sheet'!E53-'Balance Sheet'!E48)/'Balance Sheet'!E32</f>
        <v>1.0336286230325966</v>
      </c>
      <c r="F15" s="13">
        <f>('Balance Sheet'!F53-'Balance Sheet'!F48)/'Balance Sheet'!F32</f>
        <v>1.3290332983955495</v>
      </c>
      <c r="G15" s="13">
        <f>('Balance Sheet'!G53-'Balance Sheet'!G48)/'Balance Sheet'!G32</f>
        <v>1.0680193976518633</v>
      </c>
    </row>
    <row r="16" spans="2:7" ht="15" thickBot="1">
      <c r="B16" s="36" t="s">
        <v>270</v>
      </c>
      <c r="C16" s="13">
        <f>'Balance Sheet'!C50/'Balance Sheet'!C32</f>
        <v>0.39857946683885248</v>
      </c>
      <c r="D16" s="13">
        <f>'Balance Sheet'!D50/'Balance Sheet'!D32</f>
        <v>0.33059210526315791</v>
      </c>
      <c r="E16" s="13">
        <f>'Balance Sheet'!E50/'Balance Sheet'!E32</f>
        <v>0.38032166508987703</v>
      </c>
      <c r="F16" s="13">
        <f>'Balance Sheet'!F50/'Balance Sheet'!F32</f>
        <v>0.58179472708215751</v>
      </c>
      <c r="G16" s="13">
        <f>'Balance Sheet'!G50/'Balance Sheet'!G32</f>
        <v>0.46535222052067382</v>
      </c>
    </row>
    <row r="17" spans="2:7" ht="15" thickBot="1">
      <c r="B17" s="15"/>
      <c r="C17" s="13"/>
      <c r="D17" s="13"/>
      <c r="E17" s="13"/>
      <c r="F17" s="13"/>
      <c r="G17" s="13"/>
    </row>
    <row r="18" spans="2:7" ht="15" thickBot="1">
      <c r="B18" s="35" t="s">
        <v>271</v>
      </c>
      <c r="C18" s="13"/>
      <c r="D18" s="13"/>
      <c r="E18" s="13"/>
      <c r="F18" s="13"/>
      <c r="G18" s="13"/>
    </row>
    <row r="19" spans="2:7" ht="15" thickBot="1">
      <c r="B19" s="36" t="s">
        <v>272</v>
      </c>
      <c r="C19" s="13">
        <f>Data!C16/AVERAGE('Balance Sheet'!C54:D54)</f>
        <v>0.65738141353470725</v>
      </c>
      <c r="D19" s="13">
        <f>Data!D16/AVERAGE('Balance Sheet'!D54:E54)</f>
        <v>0.71115129766462748</v>
      </c>
      <c r="E19" s="13">
        <f>Data!E16/AVERAGE('Balance Sheet'!E54:F54)</f>
        <v>0.78110959630895693</v>
      </c>
      <c r="F19" s="13">
        <f>Data!F16/AVERAGE('Balance Sheet'!F54:G54)</f>
        <v>0.76683677737806411</v>
      </c>
      <c r="G19" s="13">
        <f>Data!G16/AVERAGE('Balance Sheet'!G54:H54)</f>
        <v>0.7748394264043007</v>
      </c>
    </row>
    <row r="20" spans="2:7" ht="15" thickBot="1">
      <c r="B20" s="36" t="s">
        <v>273</v>
      </c>
      <c r="C20" s="13">
        <f>Data!C16/AVERAGE('Balance Sheet'!C40:D40)</f>
        <v>0.874856398127142</v>
      </c>
      <c r="D20" s="13">
        <f>Data!D16/AVERAGE('Balance Sheet'!D40:E40)</f>
        <v>0.96466078957454959</v>
      </c>
      <c r="E20" s="13">
        <f>Data!E16/AVERAGE('Balance Sheet'!E40:F40)</f>
        <v>1.1001617495436014</v>
      </c>
      <c r="F20" s="13">
        <f>Data!F16/AVERAGE('Balance Sheet'!F40:G40)</f>
        <v>1.1119945500527264</v>
      </c>
      <c r="G20" s="13">
        <f>Data!G16/AVERAGE('Balance Sheet'!G40:H40)</f>
        <v>1.1265618327980247</v>
      </c>
    </row>
    <row r="21" spans="2:7" ht="15" thickBot="1">
      <c r="B21" s="36" t="s">
        <v>274</v>
      </c>
      <c r="C21" s="13">
        <f>Data!C16/AVERAGE('Ratio Analysis'!C39:D39)</f>
        <v>13.937557674561674</v>
      </c>
      <c r="D21" s="13">
        <f>Data!D16/AVERAGE('Ratio Analysis'!D39:E39)</f>
        <v>12.3904</v>
      </c>
      <c r="E21" s="13">
        <f>Data!E16/AVERAGE('Ratio Analysis'!E39:F39)</f>
        <v>9.4444173771822975</v>
      </c>
      <c r="F21" s="13">
        <f>Data!F16/AVERAGE('Ratio Analysis'!F39:G39)</f>
        <v>9.0821646341463413</v>
      </c>
      <c r="G21" s="13">
        <f>Data!G16/AVERAGE('Ratio Analysis'!G39:H39)</f>
        <v>11.608953510617946</v>
      </c>
    </row>
    <row r="22" spans="2:7" ht="15" thickBot="1">
      <c r="B22" s="36" t="s">
        <v>275</v>
      </c>
      <c r="C22" s="13">
        <f>Data!C16/AVERAGE('Balance Sheet'!C49:D49)</f>
        <v>25.313407821229049</v>
      </c>
      <c r="D22" s="13">
        <f>Data!D16/AVERAGE('Balance Sheet'!D49:E49)</f>
        <v>21.571030640668525</v>
      </c>
      <c r="E22" s="13">
        <f>Data!E16/AVERAGE('Balance Sheet'!E49:F49)</f>
        <v>21.439262672811061</v>
      </c>
      <c r="F22" s="13">
        <f>Data!F16/AVERAGE('Balance Sheet'!F49:G49)</f>
        <v>19.406840390879477</v>
      </c>
      <c r="G22" s="13">
        <f>Data!G16/AVERAGE('Balance Sheet'!G49:H49)</f>
        <v>17.588405797101448</v>
      </c>
    </row>
    <row r="23" spans="2:7" ht="15" thickBot="1">
      <c r="B23" s="36" t="s">
        <v>276</v>
      </c>
      <c r="C23" s="13">
        <f>Data!C16/AVERAGE('Balance Sheet'!C29:D29)</f>
        <v>5.1810645474815615</v>
      </c>
      <c r="D23" s="13">
        <f>Data!D16/AVERAGE('Balance Sheet'!D29:E29)</f>
        <v>5.5147630786086008</v>
      </c>
      <c r="E23" s="13">
        <f>Data!E16/AVERAGE('Balance Sheet'!E29:F29)</f>
        <v>5.9526076053022159</v>
      </c>
      <c r="F23" s="13">
        <f>Data!F16/AVERAGE('Balance Sheet'!F29:G29)</f>
        <v>5.6350137141776226</v>
      </c>
      <c r="G23" s="13">
        <f>Data!G16/AVERAGE('Balance Sheet'!G29:H29)</f>
        <v>5.5173667939625384</v>
      </c>
    </row>
    <row r="24" spans="2:7" ht="15" thickBot="1">
      <c r="B24" s="15"/>
      <c r="C24" s="13"/>
      <c r="D24" s="13"/>
      <c r="E24" s="13"/>
      <c r="F24" s="13"/>
      <c r="G24" s="13"/>
    </row>
    <row r="25" spans="2:7" ht="15" thickBot="1">
      <c r="B25" s="35" t="s">
        <v>277</v>
      </c>
      <c r="C25" s="13"/>
      <c r="D25" s="13"/>
      <c r="E25" s="13"/>
      <c r="F25" s="13"/>
      <c r="G25" s="13"/>
    </row>
    <row r="26" spans="2:7" ht="15" thickBot="1">
      <c r="B26" s="36" t="s">
        <v>278</v>
      </c>
      <c r="C26" s="13">
        <f>'Income Statement '!C18/Data!C16*100</f>
        <v>85.155922402948519</v>
      </c>
      <c r="D26" s="13">
        <f>'Income Statement '!D18/Data!D16*100</f>
        <v>81.613556897647811</v>
      </c>
      <c r="E26" s="13">
        <f>'Income Statement '!E18/Data!E16*100</f>
        <v>79.51129758915981</v>
      </c>
      <c r="F26" s="13">
        <f>'Income Statement '!F18/Data!F16*100</f>
        <v>80.637472935094578</v>
      </c>
      <c r="G26" s="13">
        <f>'Income Statement '!G18/Data!G16*100</f>
        <v>79.436387607119315</v>
      </c>
    </row>
    <row r="27" spans="2:7" ht="15" thickBot="1">
      <c r="B27" s="36" t="s">
        <v>279</v>
      </c>
      <c r="C27" s="13">
        <f>'Income Statement '!C24/Data!C16*100</f>
        <v>28.679570082319966</v>
      </c>
      <c r="D27" s="13">
        <f>'Income Statement '!D24/Data!D16*100</f>
        <v>26.950890019071839</v>
      </c>
      <c r="E27" s="13">
        <f>'Income Statement '!E24/Data!E16*100</f>
        <v>24.706812944939298</v>
      </c>
      <c r="F27" s="13">
        <f>'Income Statement '!F24/Data!F16*100</f>
        <v>28.452978398428975</v>
      </c>
      <c r="G27" s="13">
        <f>'Income Statement '!G24/Data!G16*100</f>
        <v>28.022412656558998</v>
      </c>
    </row>
    <row r="28" spans="2:7" ht="15" thickBot="1">
      <c r="B28" s="36" t="s">
        <v>280</v>
      </c>
      <c r="C28" s="13">
        <f>(Data!C14-Data!C29)/Data!C16</f>
        <v>0.21008143717861005</v>
      </c>
      <c r="D28" s="13">
        <f>(Data!D14-Data!D29)/Data!D16</f>
        <v>0.20905514939605849</v>
      </c>
      <c r="E28" s="13">
        <f>(Data!E14-Data!E29)/Data!E16</f>
        <v>0.19793995253980809</v>
      </c>
      <c r="F28" s="13">
        <f>(Data!F14-Data!F29)/Data!F16</f>
        <v>0.19975159032545023</v>
      </c>
      <c r="G28" s="13">
        <f>(Data!G14-Data!G29)/Data!G16</f>
        <v>0.19630850362557681</v>
      </c>
    </row>
    <row r="29" spans="2:7" ht="15" thickBot="1">
      <c r="B29" s="36" t="s">
        <v>281</v>
      </c>
      <c r="C29" s="13">
        <f>'Income Statement '!C37/Data!C16</f>
        <v>0.49539846836309065</v>
      </c>
      <c r="D29" s="13">
        <f>'Income Statement '!D37/Data!D16</f>
        <v>0.47409408773045136</v>
      </c>
      <c r="E29" s="13">
        <f>'Income Statement '!E37/Data!E16</f>
        <v>0.48600268253258588</v>
      </c>
      <c r="F29" s="13">
        <f>'Income Statement '!F37/Data!F16</f>
        <v>0.45492539317544772</v>
      </c>
      <c r="G29" s="13">
        <f>'Income Statement '!G37/Data!G16</f>
        <v>0.44711601845748189</v>
      </c>
    </row>
    <row r="30" spans="2:7" ht="15" thickBot="1">
      <c r="B30" s="36" t="s">
        <v>282</v>
      </c>
      <c r="C30" s="13">
        <f>'Income Statement '!C31/'Ratio Analysis'!C39</f>
        <v>8.9642729546266526</v>
      </c>
      <c r="D30" s="13">
        <f>'Income Statement '!D31/'Ratio Analysis'!D39</f>
        <v>7.259789359978396</v>
      </c>
      <c r="E30" s="13">
        <f>'Income Statement '!E31/'Ratio Analysis'!E39</f>
        <v>7.1191768430574403</v>
      </c>
      <c r="F30" s="13">
        <f>'Income Statement '!F31/'Ratio Analysis'!F39</f>
        <v>3.9233498036234637</v>
      </c>
      <c r="G30" s="13">
        <f>'Income Statement '!G31/'Ratio Analysis'!G39</f>
        <v>5.9596326764874687</v>
      </c>
    </row>
    <row r="31" spans="2:7" ht="15" thickBot="1">
      <c r="B31" s="15"/>
      <c r="C31" s="13"/>
      <c r="D31" s="13"/>
      <c r="E31" s="13"/>
      <c r="F31" s="13"/>
      <c r="G31" s="13"/>
    </row>
    <row r="32" spans="2:7" ht="15" thickBot="1">
      <c r="B32" s="15"/>
      <c r="C32" s="13"/>
      <c r="D32" s="13"/>
      <c r="E32" s="13"/>
      <c r="F32" s="13"/>
      <c r="G32" s="13"/>
    </row>
    <row r="33" spans="2:7" ht="15" thickBot="1">
      <c r="B33" s="35" t="s">
        <v>283</v>
      </c>
      <c r="C33" s="13">
        <v>365</v>
      </c>
      <c r="D33" s="13">
        <v>365</v>
      </c>
      <c r="E33" s="13">
        <v>365</v>
      </c>
      <c r="F33" s="13">
        <v>365</v>
      </c>
      <c r="G33" s="13">
        <v>365</v>
      </c>
    </row>
    <row r="34" spans="2:7" ht="15" thickBot="1">
      <c r="B34" s="36" t="s">
        <v>284</v>
      </c>
      <c r="C34" s="13">
        <f>C33/C22</f>
        <v>14.41923594712101</v>
      </c>
      <c r="D34" s="13">
        <f t="shared" ref="D34:G34" si="1">D33/D22</f>
        <v>16.920841942148758</v>
      </c>
      <c r="E34" s="13">
        <f t="shared" si="1"/>
        <v>17.024839220002061</v>
      </c>
      <c r="F34" s="13">
        <f t="shared" si="1"/>
        <v>18.807801406535862</v>
      </c>
      <c r="G34" s="13">
        <f t="shared" si="1"/>
        <v>20.752307185234017</v>
      </c>
    </row>
    <row r="35" spans="2:7" ht="15" thickBot="1">
      <c r="B35" s="36" t="s">
        <v>285</v>
      </c>
      <c r="C35" s="13">
        <f>C33/C23</f>
        <v>70.448842444439549</v>
      </c>
      <c r="D35" s="13">
        <f t="shared" ref="D35:G35" si="2">D33/D23</f>
        <v>66.185980212968843</v>
      </c>
      <c r="E35" s="13">
        <f t="shared" si="2"/>
        <v>61.31766516490697</v>
      </c>
      <c r="F35" s="13">
        <f t="shared" si="2"/>
        <v>64.773577938535382</v>
      </c>
      <c r="G35" s="13">
        <f t="shared" si="2"/>
        <v>66.154746209624264</v>
      </c>
    </row>
    <row r="36" spans="2:7" ht="15" thickBot="1">
      <c r="B36" s="13"/>
      <c r="C36" s="13"/>
      <c r="D36" s="13"/>
      <c r="E36" s="13"/>
      <c r="F36" s="13"/>
      <c r="G36" s="13"/>
    </row>
    <row r="37" spans="2:7" ht="15" thickBot="1">
      <c r="B37" s="13"/>
      <c r="C37" s="13"/>
      <c r="D37" s="13"/>
      <c r="E37" s="13"/>
      <c r="F37" s="13"/>
      <c r="G37" s="13"/>
    </row>
    <row r="38" spans="2:7" ht="15" thickBot="1">
      <c r="B38" s="13"/>
      <c r="C38" s="13"/>
      <c r="D38" s="18">
        <f>'Balance Sheet'!D53-'Balance Sheet'!D32</f>
        <v>3703</v>
      </c>
      <c r="E38" s="18">
        <f>'Balance Sheet'!E53-'Balance Sheet'!E32</f>
        <v>4422</v>
      </c>
      <c r="F38" s="18">
        <f>'Balance Sheet'!F53-'Balance Sheet'!F32</f>
        <v>7893</v>
      </c>
      <c r="G38" s="18">
        <f>'Balance Sheet'!G53-'Balance Sheet'!G32</f>
        <v>5227</v>
      </c>
    </row>
    <row r="39" spans="2:7" ht="15" thickBot="1">
      <c r="B39" s="13" t="s">
        <v>286</v>
      </c>
      <c r="C39" s="18">
        <f>'Balance Sheet'!C53-'Balance Sheet'!C32</f>
        <v>2799</v>
      </c>
      <c r="D39" s="18">
        <f>'Balance Sheet'!D53-'Balance Sheet'!D32</f>
        <v>3703</v>
      </c>
      <c r="E39" s="18">
        <f>'Balance Sheet'!E53-'Balance Sheet'!E32</f>
        <v>4422</v>
      </c>
      <c r="F39" s="18">
        <f>'Balance Sheet'!F53-'Balance Sheet'!F32</f>
        <v>7893</v>
      </c>
      <c r="G39" s="18">
        <f>'Balance Sheet'!G53-'Balance Sheet'!G32</f>
        <v>5227</v>
      </c>
    </row>
  </sheetData>
  <pageMargins left="0.7" right="0.7" top="0.75" bottom="0.75" header="0.3" footer="0.3"/>
  <ignoredErrors>
    <ignoredError sqref="C19:G19 C20:G20 C22:G22 C23:G2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2:S57"/>
  <sheetViews>
    <sheetView showGridLines="0" topLeftCell="A10" workbookViewId="0">
      <selection activeCell="O16" sqref="O16"/>
    </sheetView>
  </sheetViews>
  <sheetFormatPr defaultRowHeight="14.5"/>
  <cols>
    <col min="3" max="3" width="15.54296875" bestFit="1" customWidth="1"/>
    <col min="6" max="6" width="16.1796875" bestFit="1" customWidth="1"/>
    <col min="11" max="11" width="12.453125" bestFit="1" customWidth="1"/>
  </cols>
  <sheetData>
    <row r="12" spans="2:11">
      <c r="B12" s="2"/>
      <c r="C12" s="2"/>
      <c r="D12" s="2"/>
      <c r="E12" s="2"/>
      <c r="F12" s="2"/>
      <c r="G12" s="2"/>
      <c r="H12" s="2" t="s">
        <v>162</v>
      </c>
      <c r="I12" s="2" t="s">
        <v>162</v>
      </c>
      <c r="J12" s="2" t="s">
        <v>163</v>
      </c>
      <c r="K12" s="2" t="s">
        <v>163</v>
      </c>
    </row>
    <row r="13" spans="2:11" ht="17" thickBot="1">
      <c r="B13" s="2" t="s">
        <v>164</v>
      </c>
      <c r="C13" s="2" t="s">
        <v>165</v>
      </c>
      <c r="D13" s="2" t="s">
        <v>166</v>
      </c>
      <c r="E13" s="2" t="s">
        <v>167</v>
      </c>
      <c r="F13" s="2" t="s">
        <v>168</v>
      </c>
      <c r="G13" s="2" t="s">
        <v>169</v>
      </c>
      <c r="H13" s="2" t="s">
        <v>170</v>
      </c>
      <c r="I13" s="2" t="s">
        <v>171</v>
      </c>
      <c r="J13" s="2" t="s">
        <v>172</v>
      </c>
      <c r="K13" s="2" t="s">
        <v>173</v>
      </c>
    </row>
    <row r="14" spans="2:11" ht="15" thickBot="1"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2:11" ht="15" thickBot="1">
      <c r="B15" s="13">
        <v>1</v>
      </c>
      <c r="C15" s="13" t="s">
        <v>174</v>
      </c>
      <c r="D15" s="13" t="s">
        <v>189</v>
      </c>
      <c r="E15" s="13">
        <v>1648</v>
      </c>
      <c r="F15" s="30">
        <v>579221</v>
      </c>
      <c r="G15" s="20">
        <v>0.3</v>
      </c>
      <c r="H15" s="13">
        <f>E15/F15</f>
        <v>2.845200709228429E-3</v>
      </c>
      <c r="I15" s="13">
        <f>E15/SUM(E15+F15)</f>
        <v>2.8371285091819327E-3</v>
      </c>
      <c r="J15" s="21">
        <v>1</v>
      </c>
      <c r="K15" s="13">
        <f>J15/(1+(1-G15)*F15)</f>
        <v>2.4663606899594705E-6</v>
      </c>
    </row>
    <row r="16" spans="2:11" ht="15" thickBot="1">
      <c r="B16" s="13">
        <v>2</v>
      </c>
      <c r="C16" s="13" t="s">
        <v>175</v>
      </c>
      <c r="D16" s="13" t="s">
        <v>189</v>
      </c>
      <c r="E16" s="13">
        <v>284.54000000000002</v>
      </c>
      <c r="F16" s="23">
        <v>525236</v>
      </c>
      <c r="G16" s="20">
        <v>0.3</v>
      </c>
      <c r="H16" s="13">
        <f t="shared" ref="H16:H29" si="0">E16/F16</f>
        <v>5.4173742850832771E-4</v>
      </c>
      <c r="I16" s="13">
        <f t="shared" ref="I16:I29" si="1">E16/SUM(E16+F16)</f>
        <v>5.4144410796959526E-4</v>
      </c>
      <c r="J16" s="21">
        <v>1</v>
      </c>
      <c r="K16" s="13">
        <f t="shared" ref="K16:K29" si="2">J16/(1+(1-G16)*F16)</f>
        <v>2.7198583932926119E-6</v>
      </c>
    </row>
    <row r="17" spans="2:11" ht="15" thickBot="1">
      <c r="B17" s="13">
        <v>3</v>
      </c>
      <c r="C17" s="13" t="s">
        <v>176</v>
      </c>
      <c r="D17" s="13" t="s">
        <v>189</v>
      </c>
      <c r="E17" s="13">
        <v>1166.8499999999999</v>
      </c>
      <c r="F17" s="23">
        <v>238721</v>
      </c>
      <c r="G17" s="20">
        <v>0.3</v>
      </c>
      <c r="H17" s="13">
        <f t="shared" si="0"/>
        <v>4.8879235593014434E-3</v>
      </c>
      <c r="I17" s="13">
        <f t="shared" si="1"/>
        <v>4.8641479758145308E-3</v>
      </c>
      <c r="J17" s="21">
        <v>1</v>
      </c>
      <c r="K17" s="13">
        <f t="shared" si="2"/>
        <v>5.9842363246735456E-6</v>
      </c>
    </row>
    <row r="18" spans="2:11" ht="15" thickBot="1">
      <c r="B18" s="13">
        <v>4</v>
      </c>
      <c r="C18" s="13" t="s">
        <v>177</v>
      </c>
      <c r="D18" s="13" t="s">
        <v>189</v>
      </c>
      <c r="E18" s="13">
        <v>2826.25</v>
      </c>
      <c r="F18" s="31">
        <v>165697</v>
      </c>
      <c r="G18" s="20">
        <v>0.3</v>
      </c>
      <c r="H18" s="13">
        <f t="shared" si="0"/>
        <v>1.7056736090574964E-2</v>
      </c>
      <c r="I18" s="13">
        <f t="shared" si="1"/>
        <v>1.6770682976977955E-2</v>
      </c>
      <c r="J18" s="21">
        <v>1</v>
      </c>
      <c r="K18" s="13">
        <f t="shared" si="2"/>
        <v>8.6215146449358517E-6</v>
      </c>
    </row>
    <row r="19" spans="2:11" ht="15" thickBot="1">
      <c r="B19" s="13">
        <v>5</v>
      </c>
      <c r="C19" s="13" t="s">
        <v>178</v>
      </c>
      <c r="D19" s="13" t="s">
        <v>189</v>
      </c>
      <c r="E19" s="13">
        <v>1246.51</v>
      </c>
      <c r="F19" s="23">
        <v>136806</v>
      </c>
      <c r="G19" s="20">
        <v>0.3</v>
      </c>
      <c r="H19" s="13">
        <f t="shared" si="0"/>
        <v>9.1115155768021865E-3</v>
      </c>
      <c r="I19" s="13">
        <f t="shared" si="1"/>
        <v>9.0292454660911257E-3</v>
      </c>
      <c r="J19" s="21">
        <v>1</v>
      </c>
      <c r="K19" s="13">
        <f t="shared" si="2"/>
        <v>1.0442206563553357E-5</v>
      </c>
    </row>
    <row r="20" spans="2:11" ht="15" thickBot="1">
      <c r="B20" s="13">
        <v>6</v>
      </c>
      <c r="C20" s="13" t="s">
        <v>179</v>
      </c>
      <c r="D20" s="13" t="s">
        <v>189</v>
      </c>
      <c r="E20" s="13">
        <v>4009.19</v>
      </c>
      <c r="F20" s="23">
        <v>126694</v>
      </c>
      <c r="G20" s="20">
        <v>0.3</v>
      </c>
      <c r="H20" s="13">
        <f t="shared" si="0"/>
        <v>3.1644671413010875E-2</v>
      </c>
      <c r="I20" s="13">
        <f t="shared" si="1"/>
        <v>3.0674002677363879E-2</v>
      </c>
      <c r="J20" s="21">
        <v>1</v>
      </c>
      <c r="K20" s="13">
        <f t="shared" si="2"/>
        <v>1.1275635156528368E-5</v>
      </c>
    </row>
    <row r="21" spans="2:11" ht="15" thickBot="1">
      <c r="B21" s="13">
        <v>7</v>
      </c>
      <c r="C21" s="13" t="s">
        <v>180</v>
      </c>
      <c r="D21" s="13" t="s">
        <v>189</v>
      </c>
      <c r="E21" s="13">
        <v>2392.6799999999998</v>
      </c>
      <c r="F21" s="23">
        <v>107815</v>
      </c>
      <c r="G21" s="20">
        <v>0.3</v>
      </c>
      <c r="H21" s="13">
        <f t="shared" si="0"/>
        <v>2.219245930529147E-2</v>
      </c>
      <c r="I21" s="13">
        <f t="shared" si="1"/>
        <v>2.1710646662737115E-2</v>
      </c>
      <c r="J21" s="21">
        <v>1</v>
      </c>
      <c r="K21" s="13">
        <f t="shared" si="2"/>
        <v>1.3250034781341302E-5</v>
      </c>
    </row>
    <row r="22" spans="2:11" ht="15" thickBot="1">
      <c r="B22" s="13">
        <v>8</v>
      </c>
      <c r="C22" s="13" t="s">
        <v>181</v>
      </c>
      <c r="D22" s="13" t="s">
        <v>189</v>
      </c>
      <c r="E22" s="13">
        <v>480</v>
      </c>
      <c r="F22" s="23">
        <v>99349</v>
      </c>
      <c r="G22" s="20">
        <v>0.3</v>
      </c>
      <c r="H22" s="13">
        <f t="shared" si="0"/>
        <v>4.8314527574510064E-3</v>
      </c>
      <c r="I22" s="13">
        <f t="shared" si="1"/>
        <v>4.8082220597221248E-3</v>
      </c>
      <c r="J22" s="21">
        <v>1</v>
      </c>
      <c r="K22" s="13">
        <f t="shared" si="2"/>
        <v>1.4379116920913422E-5</v>
      </c>
    </row>
    <row r="23" spans="2:11" ht="15" thickBot="1">
      <c r="B23" s="13">
        <v>9</v>
      </c>
      <c r="C23" s="13" t="s">
        <v>182</v>
      </c>
      <c r="D23" s="13" t="s">
        <v>189</v>
      </c>
      <c r="E23" s="13">
        <v>554</v>
      </c>
      <c r="F23" s="23">
        <v>92807</v>
      </c>
      <c r="G23" s="20">
        <v>0.3</v>
      </c>
      <c r="H23" s="13">
        <f t="shared" si="0"/>
        <v>5.9693773099011929E-3</v>
      </c>
      <c r="I23" s="13">
        <f t="shared" si="1"/>
        <v>5.9339552918242092E-3</v>
      </c>
      <c r="J23" s="21">
        <v>1</v>
      </c>
      <c r="K23" s="13">
        <f t="shared" si="2"/>
        <v>1.5392690626928897E-5</v>
      </c>
    </row>
    <row r="24" spans="2:11" ht="15" thickBot="1">
      <c r="B24" s="13">
        <v>10</v>
      </c>
      <c r="C24" s="13" t="s">
        <v>183</v>
      </c>
      <c r="D24" s="13" t="s">
        <v>189</v>
      </c>
      <c r="E24" s="13">
        <v>950.37</v>
      </c>
      <c r="F24" s="23">
        <v>91256</v>
      </c>
      <c r="G24" s="20">
        <v>0.3</v>
      </c>
      <c r="H24" s="13">
        <f t="shared" si="0"/>
        <v>1.0414328920838082E-2</v>
      </c>
      <c r="I24" s="13">
        <f t="shared" si="1"/>
        <v>1.0306988551875538E-2</v>
      </c>
      <c r="J24" s="21">
        <v>1</v>
      </c>
      <c r="K24" s="13">
        <f t="shared" si="2"/>
        <v>1.565430289823764E-5</v>
      </c>
    </row>
    <row r="25" spans="2:11" ht="15" thickBot="1">
      <c r="B25" s="13">
        <v>11</v>
      </c>
      <c r="C25" s="13" t="s">
        <v>184</v>
      </c>
      <c r="D25" s="13" t="s">
        <v>189</v>
      </c>
      <c r="E25" s="13">
        <v>787.68</v>
      </c>
      <c r="F25" s="23">
        <v>70508</v>
      </c>
      <c r="G25" s="20">
        <v>0.3</v>
      </c>
      <c r="H25" s="13">
        <f t="shared" si="0"/>
        <v>1.1171498269699891E-2</v>
      </c>
      <c r="I25" s="13">
        <f t="shared" si="1"/>
        <v>1.1048074722058897E-2</v>
      </c>
      <c r="J25" s="21">
        <v>1</v>
      </c>
      <c r="K25" s="13">
        <f t="shared" si="2"/>
        <v>2.0260714879063792E-5</v>
      </c>
    </row>
    <row r="26" spans="2:11" ht="15" thickBot="1">
      <c r="B26" s="13">
        <v>12</v>
      </c>
      <c r="C26" s="13" t="s">
        <v>185</v>
      </c>
      <c r="D26" s="13" t="s">
        <v>189</v>
      </c>
      <c r="E26" s="13">
        <v>60.84</v>
      </c>
      <c r="F26" s="23">
        <v>65132</v>
      </c>
      <c r="G26" s="20">
        <v>0.3</v>
      </c>
      <c r="H26" s="13">
        <f t="shared" si="0"/>
        <v>9.3410305226309656E-4</v>
      </c>
      <c r="I26" s="13">
        <f t="shared" si="1"/>
        <v>9.3323131804044746E-4</v>
      </c>
      <c r="J26" s="21">
        <v>1</v>
      </c>
      <c r="K26" s="13">
        <f t="shared" si="2"/>
        <v>2.1932999074427442E-5</v>
      </c>
    </row>
    <row r="27" spans="2:11" ht="15" thickBot="1">
      <c r="B27" s="13">
        <v>13</v>
      </c>
      <c r="C27" s="13" t="s">
        <v>186</v>
      </c>
      <c r="D27" s="13" t="s">
        <v>189</v>
      </c>
      <c r="E27" s="13">
        <v>619.98</v>
      </c>
      <c r="F27" s="23">
        <v>53447</v>
      </c>
      <c r="G27" s="20">
        <v>0.3</v>
      </c>
      <c r="H27" s="13">
        <f t="shared" si="0"/>
        <v>1.1599902707354949E-2</v>
      </c>
      <c r="I27" s="13">
        <f t="shared" si="1"/>
        <v>1.1466887923090951E-2</v>
      </c>
      <c r="J27" s="21">
        <v>1</v>
      </c>
      <c r="K27" s="13">
        <f t="shared" si="2"/>
        <v>2.6728034233266252E-5</v>
      </c>
    </row>
    <row r="28" spans="2:11" ht="15" thickBot="1">
      <c r="B28" s="13">
        <v>14</v>
      </c>
      <c r="C28" s="13" t="s">
        <v>187</v>
      </c>
      <c r="D28" s="13" t="s">
        <v>189</v>
      </c>
      <c r="E28" s="13">
        <v>178.97</v>
      </c>
      <c r="F28" s="23">
        <v>47834</v>
      </c>
      <c r="G28" s="20">
        <v>0.3</v>
      </c>
      <c r="H28" s="13">
        <f t="shared" si="0"/>
        <v>3.7414809549692687E-3</v>
      </c>
      <c r="I28" s="13">
        <f t="shared" si="1"/>
        <v>3.7275344557939241E-3</v>
      </c>
      <c r="J28" s="21">
        <v>1</v>
      </c>
      <c r="K28" s="13">
        <f t="shared" si="2"/>
        <v>2.986429663608563E-5</v>
      </c>
    </row>
    <row r="29" spans="2:11" ht="15" thickBot="1">
      <c r="B29" s="13">
        <v>15</v>
      </c>
      <c r="C29" s="13" t="s">
        <v>188</v>
      </c>
      <c r="D29" s="13" t="s">
        <v>189</v>
      </c>
      <c r="E29" s="13">
        <v>2.3199999999999998</v>
      </c>
      <c r="F29" s="23">
        <v>42815</v>
      </c>
      <c r="G29" s="20">
        <v>0.3</v>
      </c>
      <c r="H29" s="13">
        <f t="shared" si="0"/>
        <v>5.4186616839892559E-5</v>
      </c>
      <c r="I29" s="13">
        <f t="shared" si="1"/>
        <v>5.4183680809541554E-5</v>
      </c>
      <c r="J29" s="21">
        <v>1</v>
      </c>
      <c r="K29" s="13">
        <f t="shared" si="2"/>
        <v>3.3365030111939678E-5</v>
      </c>
    </row>
    <row r="34" spans="2:19" ht="19" thickBot="1">
      <c r="B34" s="3" t="s">
        <v>190</v>
      </c>
      <c r="C34" s="4"/>
      <c r="D34" s="4"/>
      <c r="E34" s="4"/>
      <c r="F34" s="4"/>
      <c r="G34" s="4"/>
      <c r="H34" s="4"/>
      <c r="M34" s="3" t="s">
        <v>193</v>
      </c>
      <c r="N34" s="4"/>
      <c r="O34" s="4"/>
      <c r="P34" s="4"/>
      <c r="Q34" s="4"/>
      <c r="R34" s="4"/>
      <c r="S34" s="4"/>
    </row>
    <row r="35" spans="2:19" ht="15.5" thickTop="1" thickBot="1"/>
    <row r="36" spans="2:19" ht="15" thickBot="1">
      <c r="B36" s="5" t="s">
        <v>191</v>
      </c>
      <c r="C36" s="5"/>
      <c r="D36" s="5"/>
      <c r="E36" s="5"/>
      <c r="F36" s="5"/>
      <c r="G36" s="5"/>
      <c r="H36" s="6">
        <v>9.6000000000000002E-2</v>
      </c>
      <c r="M36" s="5" t="s">
        <v>194</v>
      </c>
      <c r="N36" s="5"/>
      <c r="O36" s="5"/>
      <c r="P36" s="5"/>
      <c r="Q36" s="5"/>
      <c r="R36" s="5"/>
      <c r="S36" s="6">
        <v>7.5999999999999998E-2</v>
      </c>
    </row>
    <row r="37" spans="2:19" ht="15" thickBot="1">
      <c r="B37" s="5" t="s">
        <v>169</v>
      </c>
      <c r="C37" s="5"/>
      <c r="D37" s="5"/>
      <c r="E37" s="5"/>
      <c r="F37" s="5"/>
      <c r="G37" s="5"/>
      <c r="H37" s="7">
        <v>0.3</v>
      </c>
      <c r="M37" s="5" t="s">
        <v>195</v>
      </c>
      <c r="N37" s="5"/>
      <c r="O37" s="5"/>
      <c r="P37" s="5"/>
      <c r="Q37" s="5"/>
      <c r="R37" s="5"/>
      <c r="S37" s="6">
        <v>0.09</v>
      </c>
    </row>
    <row r="38" spans="2:19" ht="17" thickBot="1">
      <c r="B38" s="5" t="s">
        <v>192</v>
      </c>
      <c r="C38" s="5"/>
      <c r="D38" s="5"/>
      <c r="E38" s="5"/>
      <c r="F38" s="5"/>
      <c r="G38" s="5"/>
      <c r="H38" s="8">
        <f>H36*(1-H37)</f>
        <v>6.7199999999999996E-2</v>
      </c>
      <c r="M38" s="5" t="s">
        <v>196</v>
      </c>
      <c r="N38" s="5"/>
      <c r="O38" s="5"/>
      <c r="P38" s="5"/>
      <c r="Q38" s="5"/>
      <c r="R38" s="5"/>
      <c r="S38" s="8">
        <f>S48</f>
        <v>9.5000000000000001E-2</v>
      </c>
    </row>
    <row r="39" spans="2:19" ht="15" thickBot="1">
      <c r="M39" s="5" t="s">
        <v>197</v>
      </c>
      <c r="N39" s="5"/>
      <c r="O39" s="5"/>
      <c r="P39" s="5"/>
      <c r="Q39" s="5"/>
      <c r="R39" s="5"/>
      <c r="S39" s="8">
        <f>S36+S37*S38</f>
        <v>8.455E-2</v>
      </c>
    </row>
    <row r="43" spans="2:19" ht="19" thickBot="1">
      <c r="B43" s="3" t="s">
        <v>198</v>
      </c>
      <c r="C43" s="4"/>
      <c r="D43" s="4"/>
      <c r="E43" s="4"/>
      <c r="F43" s="4"/>
      <c r="G43" s="4"/>
      <c r="H43" s="4"/>
      <c r="M43" s="3" t="s">
        <v>203</v>
      </c>
      <c r="N43" s="4"/>
      <c r="O43" s="4"/>
      <c r="P43" s="4"/>
      <c r="Q43" s="4"/>
      <c r="R43" s="4"/>
      <c r="S43" s="4"/>
    </row>
    <row r="44" spans="2:19" ht="15.5" thickTop="1" thickBot="1"/>
    <row r="45" spans="2:19" ht="15" thickBot="1">
      <c r="B45" s="5"/>
      <c r="C45" s="5"/>
      <c r="D45" s="5"/>
      <c r="E45" s="5"/>
      <c r="F45" s="5"/>
      <c r="G45" s="9" t="s">
        <v>199</v>
      </c>
      <c r="H45" s="9" t="s">
        <v>200</v>
      </c>
      <c r="M45" s="5" t="s">
        <v>204</v>
      </c>
      <c r="N45" s="5"/>
      <c r="O45" s="5"/>
      <c r="P45" s="5"/>
      <c r="Q45" s="5"/>
      <c r="R45" s="5"/>
      <c r="S45" s="6">
        <v>6.5000000000000002E-2</v>
      </c>
    </row>
    <row r="46" spans="2:19" ht="15" thickBot="1">
      <c r="B46" s="5" t="s">
        <v>167</v>
      </c>
      <c r="C46" s="5"/>
      <c r="D46" s="5"/>
      <c r="E46" s="5"/>
      <c r="F46" s="10">
        <v>465759789</v>
      </c>
      <c r="G46" s="11">
        <f>F46/$F$48</f>
        <v>0.44581022287831601</v>
      </c>
      <c r="H46" s="7">
        <v>0.66</v>
      </c>
      <c r="M46" s="5" t="s">
        <v>205</v>
      </c>
      <c r="N46" s="5"/>
      <c r="O46" s="5"/>
      <c r="P46" s="5"/>
      <c r="Q46" s="5"/>
      <c r="R46" s="5"/>
      <c r="S46" s="6">
        <v>0.08</v>
      </c>
    </row>
    <row r="47" spans="2:19" ht="15" thickBot="1">
      <c r="B47" s="5" t="s">
        <v>201</v>
      </c>
      <c r="C47" s="5"/>
      <c r="D47" s="5"/>
      <c r="E47" s="5"/>
      <c r="F47" s="10">
        <v>578989221</v>
      </c>
      <c r="G47" s="11">
        <f t="shared" ref="G47:G48" si="3">F47/$F$48</f>
        <v>0.55418977712168405</v>
      </c>
      <c r="H47" s="7">
        <f>H48-H46</f>
        <v>0.33999999999999997</v>
      </c>
      <c r="M47" s="5" t="s">
        <v>206</v>
      </c>
      <c r="N47" s="5"/>
      <c r="O47" s="5"/>
      <c r="P47" s="5"/>
      <c r="Q47" s="5"/>
      <c r="R47" s="5"/>
      <c r="S47" s="7">
        <f>G15</f>
        <v>0.3</v>
      </c>
    </row>
    <row r="48" spans="2:19" ht="15" thickBot="1">
      <c r="B48" s="5" t="s">
        <v>202</v>
      </c>
      <c r="C48" s="5"/>
      <c r="D48" s="5"/>
      <c r="E48" s="5"/>
      <c r="F48" s="10">
        <f>SUM(F46:F47)</f>
        <v>1044749010</v>
      </c>
      <c r="G48" s="11">
        <f t="shared" si="3"/>
        <v>1</v>
      </c>
      <c r="H48" s="7">
        <f>G48</f>
        <v>1</v>
      </c>
      <c r="M48" s="5" t="s">
        <v>207</v>
      </c>
      <c r="N48" s="5"/>
      <c r="O48" s="5"/>
      <c r="P48" s="5"/>
      <c r="Q48" s="5"/>
      <c r="R48" s="5"/>
      <c r="S48" s="8">
        <v>9.5000000000000001E-2</v>
      </c>
    </row>
    <row r="51" spans="2:19" ht="15" thickBot="1"/>
    <row r="52" spans="2:19" ht="19" thickBot="1">
      <c r="B52" s="5" t="s">
        <v>208</v>
      </c>
      <c r="C52" s="5"/>
      <c r="D52" s="5"/>
      <c r="E52" s="5"/>
      <c r="F52" s="5"/>
      <c r="G52" s="8">
        <f>G47/G48</f>
        <v>0.55418977712168405</v>
      </c>
      <c r="H52" s="8">
        <f>H47/H48</f>
        <v>0.33999999999999997</v>
      </c>
      <c r="M52" s="3" t="s">
        <v>209</v>
      </c>
      <c r="N52" s="4"/>
      <c r="O52" s="4"/>
      <c r="P52" s="4"/>
      <c r="Q52" s="4"/>
      <c r="R52" s="4"/>
      <c r="S52" s="4"/>
    </row>
    <row r="53" spans="2:19" ht="15" thickBot="1"/>
    <row r="54" spans="2:19" ht="15" thickBot="1">
      <c r="M54" s="5"/>
      <c r="N54" s="5"/>
      <c r="O54" s="5"/>
      <c r="P54" s="5"/>
      <c r="Q54" s="5"/>
      <c r="R54" s="12" t="s">
        <v>210</v>
      </c>
      <c r="S54" s="12" t="s">
        <v>211</v>
      </c>
    </row>
    <row r="55" spans="2:19" ht="15" thickBot="1">
      <c r="M55" s="5" t="s">
        <v>212</v>
      </c>
      <c r="N55" s="5"/>
      <c r="O55" s="5"/>
      <c r="P55" s="5"/>
      <c r="Q55" s="5"/>
      <c r="R55" s="6">
        <f>H38</f>
        <v>6.7199999999999996E-2</v>
      </c>
      <c r="S55" s="7">
        <f>H46</f>
        <v>0.66</v>
      </c>
    </row>
    <row r="56" spans="2:19" ht="15" thickBot="1">
      <c r="M56" s="5" t="s">
        <v>213</v>
      </c>
      <c r="N56" s="5"/>
      <c r="O56" s="5"/>
      <c r="P56" s="5"/>
      <c r="Q56" s="5"/>
      <c r="R56" s="6">
        <f>S39</f>
        <v>8.455E-2</v>
      </c>
      <c r="S56" s="7">
        <f>H47</f>
        <v>0.33999999999999997</v>
      </c>
    </row>
    <row r="57" spans="2:19" ht="15" thickBot="1">
      <c r="M57" s="5" t="s">
        <v>209</v>
      </c>
      <c r="N57" s="5"/>
      <c r="O57" s="5"/>
      <c r="P57" s="5"/>
      <c r="Q57" s="5"/>
      <c r="R57" s="38">
        <f>SUMPRODUCT(R55:R56,S55:S56)</f>
        <v>7.3098999999999997E-2</v>
      </c>
      <c r="S57" s="38"/>
    </row>
  </sheetData>
  <mergeCells count="1">
    <mergeCell ref="R57:S5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2:G81"/>
  <sheetViews>
    <sheetView showGridLines="0" topLeftCell="A25" workbookViewId="0">
      <selection activeCell="J12" sqref="J12"/>
    </sheetView>
  </sheetViews>
  <sheetFormatPr defaultRowHeight="14.5"/>
  <cols>
    <col min="2" max="2" width="27.90625" bestFit="1" customWidth="1"/>
    <col min="3" max="3" width="11.36328125" bestFit="1" customWidth="1"/>
    <col min="4" max="4" width="10.453125" customWidth="1"/>
    <col min="5" max="7" width="11.36328125" bestFit="1" customWidth="1"/>
  </cols>
  <sheetData>
    <row r="12" spans="2:7" ht="15" thickBot="1">
      <c r="B12" s="37" t="s">
        <v>215</v>
      </c>
      <c r="C12" s="37"/>
      <c r="D12" s="37"/>
      <c r="E12" s="37"/>
      <c r="F12" s="37"/>
      <c r="G12" s="37"/>
    </row>
    <row r="13" spans="2:7" ht="15" thickBot="1">
      <c r="B13" s="15" t="s">
        <v>214</v>
      </c>
      <c r="C13" s="15">
        <v>2021</v>
      </c>
      <c r="D13" s="15">
        <f>C13+1</f>
        <v>2022</v>
      </c>
      <c r="E13" s="15">
        <f t="shared" ref="E13:G13" si="0">D13+1</f>
        <v>2023</v>
      </c>
      <c r="F13" s="15">
        <f t="shared" si="0"/>
        <v>2024</v>
      </c>
      <c r="G13" s="15">
        <f t="shared" si="0"/>
        <v>2025</v>
      </c>
    </row>
    <row r="14" spans="2:7" ht="15" thickBot="1">
      <c r="B14" s="13"/>
      <c r="C14" s="13"/>
      <c r="D14" s="13"/>
      <c r="E14" s="13"/>
      <c r="F14" s="13"/>
      <c r="G14" s="13"/>
    </row>
    <row r="15" spans="2:7" ht="15" thickBot="1">
      <c r="B15" s="13" t="s">
        <v>216</v>
      </c>
      <c r="C15" s="13"/>
      <c r="D15" s="13"/>
      <c r="E15" s="13"/>
      <c r="F15" s="13"/>
      <c r="G15" s="13"/>
    </row>
    <row r="16" spans="2:7" ht="15" thickBot="1">
      <c r="B16" s="13" t="str">
        <f>'Balance Sheet'!B47</f>
        <v>Current Investments</v>
      </c>
      <c r="C16" s="18">
        <f>'Balance Sheet'!C47</f>
        <v>2683</v>
      </c>
      <c r="D16" s="18">
        <f>'Balance Sheet'!D47</f>
        <v>3510</v>
      </c>
      <c r="E16" s="18">
        <f>'Balance Sheet'!E47</f>
        <v>2811</v>
      </c>
      <c r="F16" s="18">
        <f>'Balance Sheet'!F47</f>
        <v>4510</v>
      </c>
      <c r="G16" s="18">
        <f>'Balance Sheet'!G47</f>
        <v>3614</v>
      </c>
    </row>
    <row r="17" spans="1:7" ht="15" thickBot="1">
      <c r="B17" s="13" t="str">
        <f>'Balance Sheet'!B48</f>
        <v>Inventories</v>
      </c>
      <c r="C17" s="18">
        <f>'Balance Sheet'!C48</f>
        <v>3383</v>
      </c>
      <c r="D17" s="18">
        <f>'Balance Sheet'!D48</f>
        <v>3890</v>
      </c>
      <c r="E17" s="18">
        <f>'Balance Sheet'!E48</f>
        <v>4031</v>
      </c>
      <c r="F17" s="18">
        <f>'Balance Sheet'!F48</f>
        <v>3812</v>
      </c>
      <c r="G17" s="18">
        <f>'Balance Sheet'!G48</f>
        <v>4161</v>
      </c>
    </row>
    <row r="18" spans="1:7" ht="15" thickBot="1">
      <c r="B18" s="13" t="str">
        <f>'Balance Sheet'!B49</f>
        <v>Trade Receivables</v>
      </c>
      <c r="C18" s="18">
        <f>'Balance Sheet'!C49</f>
        <v>1648</v>
      </c>
      <c r="D18" s="18">
        <f>'Balance Sheet'!D49</f>
        <v>1932</v>
      </c>
      <c r="E18" s="18">
        <f>'Balance Sheet'!E49</f>
        <v>2735</v>
      </c>
      <c r="F18" s="18">
        <f>'Balance Sheet'!F49</f>
        <v>2690</v>
      </c>
      <c r="G18" s="18">
        <f>'Balance Sheet'!G49</f>
        <v>3450</v>
      </c>
    </row>
    <row r="19" spans="1:7" ht="15" thickBot="1">
      <c r="B19" s="13" t="str">
        <f>'Balance Sheet'!B51</f>
        <v>Short Term Loans And Advances</v>
      </c>
      <c r="C19" s="18">
        <f>'Balance Sheet'!C51</f>
        <v>0</v>
      </c>
      <c r="D19" s="18">
        <f>'Balance Sheet'!D51</f>
        <v>34</v>
      </c>
      <c r="E19" s="18">
        <f>'Balance Sheet'!E51</f>
        <v>35</v>
      </c>
      <c r="F19" s="18">
        <f>'Balance Sheet'!F51</f>
        <v>37</v>
      </c>
      <c r="G19" s="18">
        <f>'Balance Sheet'!G51</f>
        <v>45</v>
      </c>
    </row>
    <row r="20" spans="1:7" ht="15" thickBot="1">
      <c r="B20" s="13" t="str">
        <f>'Balance Sheet'!B52</f>
        <v>OtherCurrentAssets</v>
      </c>
      <c r="C20" s="18">
        <f>'Balance Sheet'!C52</f>
        <v>1605</v>
      </c>
      <c r="D20" s="18">
        <f>'Balance Sheet'!D52</f>
        <v>1663</v>
      </c>
      <c r="E20" s="18">
        <f>'Balance Sheet'!E52</f>
        <v>2015</v>
      </c>
      <c r="F20" s="18">
        <f>'Balance Sheet'!F52</f>
        <v>2031</v>
      </c>
      <c r="G20" s="18">
        <f>'Balance Sheet'!G52</f>
        <v>2336</v>
      </c>
    </row>
    <row r="21" spans="1:7" ht="15" thickBot="1">
      <c r="B21" s="13" t="s">
        <v>217</v>
      </c>
      <c r="C21" s="18">
        <f>SUM(C16:C20)</f>
        <v>9319</v>
      </c>
      <c r="D21" s="18">
        <f t="shared" ref="D21:G21" si="1">SUM(D16:D20)</f>
        <v>11029</v>
      </c>
      <c r="E21" s="18">
        <f t="shared" si="1"/>
        <v>11627</v>
      </c>
      <c r="F21" s="18">
        <f t="shared" si="1"/>
        <v>13080</v>
      </c>
      <c r="G21" s="18">
        <f t="shared" si="1"/>
        <v>13606</v>
      </c>
    </row>
    <row r="22" spans="1:7" ht="15" thickBot="1">
      <c r="B22" s="13"/>
      <c r="C22" s="13"/>
      <c r="D22" s="13"/>
      <c r="E22" s="13"/>
      <c r="F22" s="13"/>
      <c r="G22" s="13"/>
    </row>
    <row r="23" spans="1:7" ht="15" thickBot="1">
      <c r="B23" s="13" t="s">
        <v>218</v>
      </c>
      <c r="C23" s="13"/>
      <c r="D23" s="13"/>
      <c r="E23" s="13"/>
      <c r="F23" s="13"/>
      <c r="G23" s="13"/>
    </row>
    <row r="24" spans="1:7" ht="15" thickBot="1">
      <c r="B24" s="13" t="str">
        <f>'Balance Sheet'!B28</f>
        <v>Short Term Borrowings</v>
      </c>
      <c r="C24" s="13">
        <f>'Balance Sheet'!C28</f>
        <v>0</v>
      </c>
      <c r="D24" s="13">
        <f>'Balance Sheet'!D28</f>
        <v>0</v>
      </c>
      <c r="E24" s="13">
        <f>'Balance Sheet'!E28</f>
        <v>0</v>
      </c>
      <c r="F24" s="13">
        <f>'Balance Sheet'!F28</f>
        <v>0</v>
      </c>
      <c r="G24" s="13">
        <f>'Balance Sheet'!G28</f>
        <v>0</v>
      </c>
    </row>
    <row r="25" spans="1:7" ht="15" thickBot="1">
      <c r="B25" s="13" t="str">
        <f>'Balance Sheet'!B29</f>
        <v>Trade Payables</v>
      </c>
      <c r="C25" s="13">
        <f>'Balance Sheet'!C29</f>
        <v>8627</v>
      </c>
      <c r="D25" s="13">
        <f>'Balance Sheet'!D29</f>
        <v>8864</v>
      </c>
      <c r="E25" s="13">
        <f>'Balance Sheet'!E29</f>
        <v>9391</v>
      </c>
      <c r="F25" s="13">
        <f>'Balance Sheet'!F29</f>
        <v>10148</v>
      </c>
      <c r="G25" s="13">
        <f>'Balance Sheet'!G29</f>
        <v>10998</v>
      </c>
    </row>
    <row r="26" spans="1:7" ht="15" thickBot="1">
      <c r="B26" s="13" t="str">
        <f>'Balance Sheet'!B30</f>
        <v>Other Current Liabilities</v>
      </c>
      <c r="C26" s="13">
        <f>'Balance Sheet'!C30</f>
        <v>1723</v>
      </c>
      <c r="D26" s="13">
        <f>'Balance Sheet'!D30</f>
        <v>1746</v>
      </c>
      <c r="E26" s="13">
        <f>'Balance Sheet'!E30</f>
        <v>1857</v>
      </c>
      <c r="F26" s="13">
        <f>'Balance Sheet'!F30</f>
        <v>1926</v>
      </c>
      <c r="G26" s="13">
        <f>'Balance Sheet'!G30</f>
        <v>4013</v>
      </c>
    </row>
    <row r="27" spans="1:7" ht="15" thickBot="1">
      <c r="B27" s="13" t="str">
        <f>'Balance Sheet'!B31</f>
        <v>Short Term Provisions</v>
      </c>
      <c r="C27" s="13">
        <f>'Balance Sheet'!C31</f>
        <v>491</v>
      </c>
      <c r="D27" s="13">
        <f>'Balance Sheet'!D31</f>
        <v>334</v>
      </c>
      <c r="E27" s="13">
        <f>'Balance Sheet'!E31</f>
        <v>379</v>
      </c>
      <c r="F27" s="13">
        <f>'Balance Sheet'!F31</f>
        <v>329</v>
      </c>
      <c r="G27" s="13">
        <f>'Balance Sheet'!G31</f>
        <v>661</v>
      </c>
    </row>
    <row r="28" spans="1:7" ht="15" thickBot="1">
      <c r="B28" s="13" t="s">
        <v>219</v>
      </c>
      <c r="C28" s="24">
        <f>SUM(C24:C27)</f>
        <v>10841</v>
      </c>
      <c r="D28" s="24">
        <f t="shared" ref="D28:G28" si="2">SUM(D24:D27)</f>
        <v>10944</v>
      </c>
      <c r="E28" s="24">
        <f t="shared" si="2"/>
        <v>11627</v>
      </c>
      <c r="F28" s="24">
        <f t="shared" si="2"/>
        <v>12403</v>
      </c>
      <c r="G28" s="24">
        <f t="shared" si="2"/>
        <v>15672</v>
      </c>
    </row>
    <row r="29" spans="1:7" ht="15" thickBot="1">
      <c r="B29" s="13"/>
      <c r="C29" s="13"/>
      <c r="D29" s="13"/>
      <c r="E29" s="13"/>
      <c r="F29" s="13"/>
      <c r="G29" s="13"/>
    </row>
    <row r="30" spans="1:7" ht="15" thickBot="1">
      <c r="A30" t="s">
        <v>265</v>
      </c>
      <c r="B30" s="15" t="s">
        <v>220</v>
      </c>
      <c r="C30" s="27">
        <f>C21-C28</f>
        <v>-1522</v>
      </c>
      <c r="D30" s="27">
        <f t="shared" ref="D30:G30" si="3">D21-D28</f>
        <v>85</v>
      </c>
      <c r="E30" s="27">
        <f t="shared" si="3"/>
        <v>0</v>
      </c>
      <c r="F30" s="27">
        <f t="shared" si="3"/>
        <v>677</v>
      </c>
      <c r="G30" s="27">
        <f t="shared" si="3"/>
        <v>-2066</v>
      </c>
    </row>
    <row r="31" spans="1:7" ht="15" thickBot="1">
      <c r="B31" s="13"/>
      <c r="C31" s="13"/>
      <c r="D31" s="13"/>
      <c r="E31" s="13"/>
      <c r="F31" s="13"/>
      <c r="G31" s="13"/>
    </row>
    <row r="32" spans="1:7" ht="15" thickBot="1">
      <c r="B32" s="13" t="s">
        <v>221</v>
      </c>
      <c r="C32" s="13"/>
      <c r="D32" s="13"/>
      <c r="E32" s="13"/>
      <c r="F32" s="13"/>
      <c r="G32" s="13"/>
    </row>
    <row r="33" spans="2:7" ht="15" thickBot="1">
      <c r="B33" s="13"/>
      <c r="C33" s="13"/>
      <c r="D33" s="13"/>
      <c r="E33" s="13"/>
      <c r="F33" s="13"/>
      <c r="G33" s="13"/>
    </row>
    <row r="34" spans="2:7" ht="15" thickBot="1">
      <c r="B34" s="13" t="str">
        <f>'Balance Sheet'!B36</f>
        <v>Tangible Assets</v>
      </c>
      <c r="C34" s="18">
        <f>'Balance Sheet'!C36</f>
        <v>5786</v>
      </c>
      <c r="D34" s="18">
        <f>'Balance Sheet'!D36</f>
        <v>5813</v>
      </c>
      <c r="E34" s="18">
        <f>'Balance Sheet'!E36</f>
        <v>6189</v>
      </c>
      <c r="F34" s="18">
        <f>'Balance Sheet'!F36</f>
        <v>7178</v>
      </c>
      <c r="G34" s="18">
        <f>'Balance Sheet'!G36</f>
        <v>7710</v>
      </c>
    </row>
    <row r="35" spans="2:7" ht="15" thickBot="1">
      <c r="B35" s="13" t="str">
        <f>'Balance Sheet'!B37</f>
        <v>Intangible Assets</v>
      </c>
      <c r="C35" s="18">
        <f>'Balance Sheet'!C37</f>
        <v>45241</v>
      </c>
      <c r="D35" s="18">
        <f>'Balance Sheet'!D37</f>
        <v>45221</v>
      </c>
      <c r="E35" s="18">
        <f>'Balance Sheet'!E37</f>
        <v>45216</v>
      </c>
      <c r="F35" s="18">
        <f>'Balance Sheet'!F37</f>
        <v>45201</v>
      </c>
      <c r="G35" s="18">
        <f>'Balance Sheet'!G37</f>
        <v>45197</v>
      </c>
    </row>
    <row r="36" spans="2:7" ht="15" thickBot="1">
      <c r="B36" s="13" t="str">
        <f>'Balance Sheet'!B38</f>
        <v>Capital Work-In-Progress</v>
      </c>
      <c r="C36" s="18">
        <f>'Balance Sheet'!C38</f>
        <v>623</v>
      </c>
      <c r="D36" s="18">
        <f>'Balance Sheet'!D38</f>
        <v>901</v>
      </c>
      <c r="E36" s="18">
        <f>'Balance Sheet'!E38</f>
        <v>1020</v>
      </c>
      <c r="F36" s="18">
        <f>'Balance Sheet'!F38</f>
        <v>915</v>
      </c>
      <c r="G36" s="18">
        <f>'Balance Sheet'!G38</f>
        <v>956</v>
      </c>
    </row>
    <row r="37" spans="2:7" ht="15" thickBot="1">
      <c r="B37" s="13" t="str">
        <f>'Balance Sheet'!B39</f>
        <v>Other Assets</v>
      </c>
      <c r="C37" s="18">
        <f>'Balance Sheet'!C39</f>
        <v>0</v>
      </c>
      <c r="D37" s="18">
        <f>'Balance Sheet'!D39</f>
        <v>0</v>
      </c>
      <c r="E37" s="18">
        <f>'Balance Sheet'!E39</f>
        <v>0</v>
      </c>
      <c r="F37" s="18">
        <f>'Balance Sheet'!F39</f>
        <v>0</v>
      </c>
      <c r="G37" s="18">
        <f>'Balance Sheet'!G39</f>
        <v>0</v>
      </c>
    </row>
    <row r="38" spans="2:7" ht="15" thickBot="1">
      <c r="B38" s="13" t="str">
        <f>'Balance Sheet'!B40</f>
        <v>Fixed Assets</v>
      </c>
      <c r="C38" s="18">
        <f>'Balance Sheet'!C40</f>
        <v>51650</v>
      </c>
      <c r="D38" s="18">
        <f>'Balance Sheet'!D40</f>
        <v>51935</v>
      </c>
      <c r="E38" s="18">
        <f>'Balance Sheet'!E40</f>
        <v>52425</v>
      </c>
      <c r="F38" s="18">
        <f>'Balance Sheet'!F40</f>
        <v>53294</v>
      </c>
      <c r="G38" s="18">
        <f>'Balance Sheet'!G40</f>
        <v>53863</v>
      </c>
    </row>
    <row r="39" spans="2:7" ht="15" thickBot="1">
      <c r="B39" s="13" t="str">
        <f>'Balance Sheet'!B41</f>
        <v>Non-Current Investments</v>
      </c>
      <c r="C39" s="18">
        <f>'Balance Sheet'!C41</f>
        <v>312</v>
      </c>
      <c r="D39" s="18">
        <f>'Balance Sheet'!D41</f>
        <v>612</v>
      </c>
      <c r="E39" s="18">
        <f>'Balance Sheet'!E41</f>
        <v>983</v>
      </c>
      <c r="F39" s="18">
        <f>'Balance Sheet'!F41</f>
        <v>983</v>
      </c>
      <c r="G39" s="18">
        <f>'Balance Sheet'!G41</f>
        <v>988</v>
      </c>
    </row>
    <row r="40" spans="2:7" ht="15" thickBot="1">
      <c r="B40" s="13" t="str">
        <f>'Balance Sheet'!B42</f>
        <v>Deferred Tax Assets [Net]</v>
      </c>
      <c r="C40" s="18">
        <f>'Balance Sheet'!C42</f>
        <v>0</v>
      </c>
      <c r="D40" s="18">
        <f>'Balance Sheet'!D42</f>
        <v>0</v>
      </c>
      <c r="E40" s="18">
        <f>'Balance Sheet'!E42</f>
        <v>0</v>
      </c>
      <c r="F40" s="18">
        <f>'Balance Sheet'!F42</f>
        <v>0</v>
      </c>
      <c r="G40" s="18">
        <f>'Balance Sheet'!G42</f>
        <v>0</v>
      </c>
    </row>
    <row r="41" spans="2:7" ht="15" thickBot="1">
      <c r="B41" s="13" t="str">
        <f>'Balance Sheet'!B43</f>
        <v>Long Term Loans And Advances</v>
      </c>
      <c r="C41" s="18">
        <f>'Balance Sheet'!C43</f>
        <v>520</v>
      </c>
      <c r="D41" s="18">
        <f>'Balance Sheet'!D43</f>
        <v>541</v>
      </c>
      <c r="E41" s="18">
        <f>'Balance Sheet'!E43</f>
        <v>339</v>
      </c>
      <c r="F41" s="18">
        <f>'Balance Sheet'!F43</f>
        <v>392</v>
      </c>
      <c r="G41" s="18">
        <f>'Balance Sheet'!G43</f>
        <v>332</v>
      </c>
    </row>
    <row r="42" spans="2:7" ht="15" thickBot="1">
      <c r="B42" s="13" t="str">
        <f>'Balance Sheet'!B44</f>
        <v>Other Non-Current Assets</v>
      </c>
      <c r="C42" s="18">
        <f>'Balance Sheet'!C44</f>
        <v>1994</v>
      </c>
      <c r="D42" s="18">
        <f>'Balance Sheet'!D44</f>
        <v>2002</v>
      </c>
      <c r="E42" s="18">
        <f>'Balance Sheet'!E44</f>
        <v>2029</v>
      </c>
      <c r="F42" s="18">
        <f>'Balance Sheet'!F44</f>
        <v>2111</v>
      </c>
      <c r="G42" s="18">
        <f>'Balance Sheet'!G44</f>
        <v>2231</v>
      </c>
    </row>
    <row r="43" spans="2:7" ht="15" thickBot="1">
      <c r="B43" s="13" t="s">
        <v>222</v>
      </c>
      <c r="C43" s="18">
        <f>SUM(C34:C42)</f>
        <v>106126</v>
      </c>
      <c r="D43" s="18">
        <f t="shared" ref="D43:G43" si="4">SUM(D34:D42)</f>
        <v>107025</v>
      </c>
      <c r="E43" s="18">
        <f t="shared" si="4"/>
        <v>108201</v>
      </c>
      <c r="F43" s="18">
        <f t="shared" si="4"/>
        <v>110074</v>
      </c>
      <c r="G43" s="18">
        <f t="shared" si="4"/>
        <v>111277</v>
      </c>
    </row>
    <row r="44" spans="2:7" ht="15" thickBot="1">
      <c r="B44" s="13" t="str">
        <f>Data!B27</f>
        <v>Depreciation And Amortisation Expenses</v>
      </c>
      <c r="C44" s="18">
        <f>Data!C27</f>
        <v>1012</v>
      </c>
      <c r="D44" s="18">
        <f>Data!D27</f>
        <v>1025</v>
      </c>
      <c r="E44" s="18">
        <f>Data!E27</f>
        <v>1030</v>
      </c>
      <c r="F44" s="18">
        <f>Data!F27</f>
        <v>1097</v>
      </c>
      <c r="G44" s="18">
        <f>Data!G27</f>
        <v>1224</v>
      </c>
    </row>
    <row r="45" spans="2:7" ht="15" thickBot="1">
      <c r="B45" s="13"/>
      <c r="C45" s="13"/>
      <c r="D45" s="13"/>
      <c r="E45" s="13"/>
      <c r="F45" s="13"/>
      <c r="G45" s="13"/>
    </row>
    <row r="46" spans="2:7" ht="15" thickBot="1">
      <c r="B46" s="13" t="s">
        <v>223</v>
      </c>
      <c r="C46" s="18">
        <f>C43-C44</f>
        <v>105114</v>
      </c>
      <c r="D46" s="18">
        <f t="shared" ref="D46:G46" si="5">D43-D44</f>
        <v>106000</v>
      </c>
      <c r="E46" s="18">
        <f t="shared" si="5"/>
        <v>107171</v>
      </c>
      <c r="F46" s="18">
        <f t="shared" si="5"/>
        <v>108977</v>
      </c>
      <c r="G46" s="18">
        <f t="shared" si="5"/>
        <v>110053</v>
      </c>
    </row>
    <row r="47" spans="2:7" ht="15" thickBot="1">
      <c r="B47" s="13"/>
      <c r="C47" s="13"/>
      <c r="D47" s="13"/>
      <c r="E47" s="13"/>
      <c r="F47" s="13"/>
      <c r="G47" s="13"/>
    </row>
    <row r="48" spans="2:7" ht="15" thickBot="1">
      <c r="B48" s="13" t="s">
        <v>224</v>
      </c>
      <c r="C48" s="18">
        <f>SUM(C46,C30)</f>
        <v>103592</v>
      </c>
      <c r="D48" s="18">
        <f t="shared" ref="D48:G48" si="6">SUM(D46,D30)</f>
        <v>106085</v>
      </c>
      <c r="E48" s="18">
        <f t="shared" si="6"/>
        <v>107171</v>
      </c>
      <c r="F48" s="18">
        <f t="shared" si="6"/>
        <v>109654</v>
      </c>
      <c r="G48" s="18">
        <f t="shared" si="6"/>
        <v>107987</v>
      </c>
    </row>
    <row r="49" spans="1:7" ht="15" thickBot="1">
      <c r="B49" s="13" t="s">
        <v>225</v>
      </c>
      <c r="C49" s="18">
        <f>'Income Statement '!C31</f>
        <v>25091</v>
      </c>
      <c r="D49" s="18">
        <f>'Income Statement '!D31</f>
        <v>26883</v>
      </c>
      <c r="E49" s="18">
        <f>'Income Statement '!E31</f>
        <v>31481</v>
      </c>
      <c r="F49" s="18">
        <f>'Income Statement '!F31</f>
        <v>30967</v>
      </c>
      <c r="G49" s="18">
        <f>'Income Statement '!G31</f>
        <v>31151</v>
      </c>
    </row>
    <row r="50" spans="1:7" ht="15" thickBot="1">
      <c r="B50" s="13"/>
      <c r="C50" s="13"/>
      <c r="D50" s="13"/>
      <c r="E50" s="13"/>
      <c r="F50" s="13"/>
      <c r="G50" s="13"/>
    </row>
    <row r="51" spans="1:7" ht="15" thickBot="1">
      <c r="A51" t="s">
        <v>265</v>
      </c>
      <c r="B51" s="15" t="s">
        <v>226</v>
      </c>
      <c r="C51" s="28">
        <f>C48/C49</f>
        <v>4.1286517077836677</v>
      </c>
      <c r="D51" s="28">
        <f t="shared" ref="D51:G51" si="7">D48/D49</f>
        <v>3.9461741621098834</v>
      </c>
      <c r="E51" s="28">
        <f t="shared" si="7"/>
        <v>3.4043073599949176</v>
      </c>
      <c r="F51" s="28">
        <f t="shared" si="7"/>
        <v>3.5409952530112703</v>
      </c>
      <c r="G51" s="28">
        <f t="shared" si="7"/>
        <v>3.4665660813457033</v>
      </c>
    </row>
    <row r="54" spans="1:7">
      <c r="B54" s="37" t="s">
        <v>227</v>
      </c>
      <c r="C54" s="37"/>
      <c r="D54" s="37"/>
      <c r="E54" s="37"/>
      <c r="F54" s="37"/>
      <c r="G54" s="37"/>
    </row>
    <row r="55" spans="1:7" ht="15" thickBot="1"/>
    <row r="56" spans="1:7" ht="15" thickBot="1">
      <c r="B56" s="25" t="s">
        <v>214</v>
      </c>
      <c r="C56" s="25">
        <v>2021</v>
      </c>
      <c r="D56" s="25">
        <f>C56+1</f>
        <v>2022</v>
      </c>
      <c r="E56" s="25">
        <f t="shared" ref="E56:G56" si="8">D56+1</f>
        <v>2023</v>
      </c>
      <c r="F56" s="25">
        <f t="shared" si="8"/>
        <v>2024</v>
      </c>
      <c r="G56" s="25">
        <f t="shared" si="8"/>
        <v>2025</v>
      </c>
    </row>
    <row r="57" spans="1:7" ht="15" thickBot="1">
      <c r="B57" s="13"/>
      <c r="C57" s="13"/>
      <c r="D57" s="13"/>
      <c r="E57" s="13"/>
      <c r="F57" s="13"/>
      <c r="G57" s="13"/>
    </row>
    <row r="58" spans="1:7" ht="15" thickBot="1">
      <c r="B58" s="13" t="s">
        <v>228</v>
      </c>
      <c r="C58" s="23">
        <f>SUM(Data!C74:C75)</f>
        <v>-4066</v>
      </c>
      <c r="D58" s="23">
        <f>SUM(Data!D74:D75)</f>
        <v>-1053</v>
      </c>
      <c r="E58" s="23">
        <f>SUM(Data!E74:E75)</f>
        <v>-1011</v>
      </c>
      <c r="F58" s="23">
        <f>SUM(Data!F74:F75)</f>
        <v>-1457</v>
      </c>
      <c r="G58" s="23">
        <f>SUM(Data!G74:G75)</f>
        <v>-1262</v>
      </c>
    </row>
    <row r="59" spans="1:7" ht="15" thickBot="1">
      <c r="B59" s="13" t="s">
        <v>229</v>
      </c>
      <c r="C59" s="13"/>
      <c r="D59" s="18">
        <f>D30-C30</f>
        <v>1607</v>
      </c>
      <c r="E59" s="18">
        <f t="shared" ref="E59:G59" si="9">E30-D30</f>
        <v>-85</v>
      </c>
      <c r="F59" s="18">
        <f t="shared" si="9"/>
        <v>677</v>
      </c>
      <c r="G59" s="18">
        <f t="shared" si="9"/>
        <v>-2743</v>
      </c>
    </row>
    <row r="60" spans="1:7" ht="15" thickBot="1">
      <c r="B60" s="13"/>
      <c r="C60" s="13"/>
      <c r="D60" s="13"/>
      <c r="E60" s="13"/>
      <c r="F60" s="13"/>
      <c r="G60" s="13"/>
    </row>
    <row r="61" spans="1:7" ht="15" thickBot="1">
      <c r="B61" s="13" t="s">
        <v>230</v>
      </c>
      <c r="C61" s="18">
        <f>'Income Statement '!C31</f>
        <v>25091</v>
      </c>
      <c r="D61" s="18">
        <f>'Income Statement '!D31</f>
        <v>26883</v>
      </c>
      <c r="E61" s="18">
        <f>'Income Statement '!E31</f>
        <v>31481</v>
      </c>
      <c r="F61" s="18">
        <f>'Income Statement '!F31</f>
        <v>30967</v>
      </c>
      <c r="G61" s="18">
        <f>'Income Statement '!G31</f>
        <v>31151</v>
      </c>
    </row>
    <row r="62" spans="1:7" ht="15" thickBot="1">
      <c r="B62" s="13" t="s">
        <v>231</v>
      </c>
      <c r="C62" s="22">
        <v>0.25</v>
      </c>
      <c r="D62" s="22">
        <v>0.25</v>
      </c>
      <c r="E62" s="22">
        <v>0.25</v>
      </c>
      <c r="F62" s="22">
        <v>0.25</v>
      </c>
      <c r="G62" s="22">
        <v>0.25</v>
      </c>
    </row>
    <row r="63" spans="1:7" ht="15" thickBot="1">
      <c r="B63" s="13" t="s">
        <v>232</v>
      </c>
      <c r="C63" s="18">
        <f>C61*(1-C62)</f>
        <v>18818.25</v>
      </c>
      <c r="D63" s="18">
        <f t="shared" ref="D63:G63" si="10">D61*(1-D62)</f>
        <v>20162.25</v>
      </c>
      <c r="E63" s="18">
        <f t="shared" si="10"/>
        <v>23610.75</v>
      </c>
      <c r="F63" s="18">
        <f t="shared" si="10"/>
        <v>23225.25</v>
      </c>
      <c r="G63" s="18">
        <f t="shared" si="10"/>
        <v>23363.25</v>
      </c>
    </row>
    <row r="64" spans="1:7" ht="15" thickBot="1">
      <c r="B64" s="13"/>
      <c r="C64" s="13"/>
      <c r="D64" s="13"/>
      <c r="E64" s="13"/>
      <c r="F64" s="13"/>
      <c r="G64" s="13"/>
    </row>
    <row r="65" spans="1:7" ht="15" thickBot="1">
      <c r="B65" s="13" t="s">
        <v>233</v>
      </c>
      <c r="C65" s="23">
        <f>SUM(C58:C59)</f>
        <v>-4066</v>
      </c>
      <c r="D65" s="23">
        <f t="shared" ref="D65:G65" si="11">SUM(D58:D59)</f>
        <v>554</v>
      </c>
      <c r="E65" s="23">
        <f t="shared" si="11"/>
        <v>-1096</v>
      </c>
      <c r="F65" s="23">
        <f t="shared" si="11"/>
        <v>-780</v>
      </c>
      <c r="G65" s="23">
        <f t="shared" si="11"/>
        <v>-4005</v>
      </c>
    </row>
    <row r="66" spans="1:7" ht="15" thickBot="1">
      <c r="A66" s="26" t="s">
        <v>265</v>
      </c>
      <c r="B66" s="14" t="s">
        <v>234</v>
      </c>
      <c r="C66" s="29">
        <f>C65/C63</f>
        <v>-0.21606684999933576</v>
      </c>
      <c r="D66" s="29">
        <f t="shared" ref="D66:G66" si="12">D65/D63</f>
        <v>2.7477092090416495E-2</v>
      </c>
      <c r="E66" s="29">
        <f t="shared" si="12"/>
        <v>-4.6419533475217857E-2</v>
      </c>
      <c r="F66" s="29">
        <f t="shared" si="12"/>
        <v>-3.3584137953305129E-2</v>
      </c>
      <c r="G66" s="29">
        <f t="shared" si="12"/>
        <v>-0.17142306828031204</v>
      </c>
    </row>
    <row r="67" spans="1:7" ht="15" thickBot="1"/>
    <row r="68" spans="1:7" ht="15" thickBot="1">
      <c r="B68" s="13" t="s">
        <v>235</v>
      </c>
      <c r="C68" s="22">
        <f>AVERAGE(C66:G66)</f>
        <v>-8.8003299523550862E-2</v>
      </c>
    </row>
    <row r="69" spans="1:7" ht="15" thickBot="1">
      <c r="B69" s="13" t="s">
        <v>236</v>
      </c>
      <c r="C69" s="22">
        <f>MEDIAN(C66:G66)</f>
        <v>-4.6419533475217857E-2</v>
      </c>
    </row>
    <row r="72" spans="1:7" ht="15" thickBot="1">
      <c r="B72" s="37" t="s">
        <v>237</v>
      </c>
      <c r="C72" s="37"/>
      <c r="D72" s="37"/>
      <c r="E72" s="37"/>
      <c r="F72" s="37"/>
      <c r="G72" s="37"/>
    </row>
    <row r="73" spans="1:7" ht="15" thickBot="1">
      <c r="B73" s="25" t="s">
        <v>214</v>
      </c>
      <c r="C73" s="25">
        <v>2021</v>
      </c>
      <c r="D73" s="25">
        <f>C73+1</f>
        <v>2022</v>
      </c>
      <c r="E73" s="25">
        <f t="shared" ref="E73:G73" si="13">D73+1</f>
        <v>2023</v>
      </c>
      <c r="F73" s="25">
        <f t="shared" si="13"/>
        <v>2024</v>
      </c>
      <c r="G73" s="25">
        <f t="shared" si="13"/>
        <v>2025</v>
      </c>
    </row>
    <row r="74" spans="1:7" ht="15" thickBot="1">
      <c r="B74" s="13"/>
      <c r="C74" s="13"/>
      <c r="D74" s="13"/>
      <c r="E74" s="13"/>
      <c r="F74" s="13"/>
      <c r="G74" s="13"/>
    </row>
    <row r="75" spans="1:7" ht="15" thickBot="1">
      <c r="B75" s="13" t="s">
        <v>238</v>
      </c>
      <c r="C75" s="22">
        <f>C66</f>
        <v>-0.21606684999933576</v>
      </c>
      <c r="D75" s="22">
        <f t="shared" ref="D75:G75" si="14">D66</f>
        <v>2.7477092090416495E-2</v>
      </c>
      <c r="E75" s="22">
        <f t="shared" si="14"/>
        <v>-4.6419533475217857E-2</v>
      </c>
      <c r="F75" s="22">
        <f t="shared" si="14"/>
        <v>-3.3584137953305129E-2</v>
      </c>
      <c r="G75" s="22">
        <f t="shared" si="14"/>
        <v>-0.17142306828031204</v>
      </c>
    </row>
    <row r="76" spans="1:7" ht="15" thickBot="1">
      <c r="B76" s="13" t="str">
        <f>B51</f>
        <v xml:space="preserve"> Return on Invested Capital (ROIC)</v>
      </c>
      <c r="C76" s="21">
        <f>C51</f>
        <v>4.1286517077836677</v>
      </c>
      <c r="D76" s="21">
        <f t="shared" ref="D76:G76" si="15">D51</f>
        <v>3.9461741621098834</v>
      </c>
      <c r="E76" s="21">
        <f t="shared" si="15"/>
        <v>3.4043073599949176</v>
      </c>
      <c r="F76" s="21">
        <f t="shared" si="15"/>
        <v>3.5409952530112703</v>
      </c>
      <c r="G76" s="21">
        <f t="shared" si="15"/>
        <v>3.4665660813457033</v>
      </c>
    </row>
    <row r="77" spans="1:7" ht="15" thickBot="1">
      <c r="B77" s="13"/>
      <c r="C77" s="13"/>
      <c r="D77" s="13"/>
      <c r="E77" s="13"/>
      <c r="F77" s="13"/>
      <c r="G77" s="13"/>
    </row>
    <row r="78" spans="1:7" ht="15" thickBot="1">
      <c r="A78" t="s">
        <v>265</v>
      </c>
      <c r="B78" s="15" t="s">
        <v>239</v>
      </c>
      <c r="C78" s="28">
        <f>C75*C76</f>
        <v>-0.89206476924519518</v>
      </c>
      <c r="D78" s="28">
        <f t="shared" ref="D78:G78" si="16">D75*D76</f>
        <v>0.10842939085711542</v>
      </c>
      <c r="E78" s="28">
        <f t="shared" si="16"/>
        <v>-0.1580263594572146</v>
      </c>
      <c r="F78" s="28">
        <f t="shared" si="16"/>
        <v>-0.1189212730691291</v>
      </c>
      <c r="G78" s="28">
        <f t="shared" si="16"/>
        <v>-0.59424939406073818</v>
      </c>
    </row>
    <row r="79" spans="1:7" ht="15" thickBot="1"/>
    <row r="80" spans="1:7" ht="15" thickBot="1">
      <c r="B80" s="13" t="s">
        <v>235</v>
      </c>
      <c r="C80" s="21">
        <f>AVERAGE(C78:G78)</f>
        <v>-0.33096648099503234</v>
      </c>
    </row>
    <row r="81" spans="2:3" ht="15" thickBot="1">
      <c r="B81" s="13" t="s">
        <v>236</v>
      </c>
      <c r="C81" s="21">
        <f>MEDIAN(C78:G78)</f>
        <v>-0.1580263594572146</v>
      </c>
    </row>
  </sheetData>
  <mergeCells count="3">
    <mergeCell ref="B54:G54"/>
    <mergeCell ref="B72:G72"/>
    <mergeCell ref="B12:G12"/>
  </mergeCells>
  <pageMargins left="0.7" right="0.7" top="0.75" bottom="0.75" header="0.3" footer="0.3"/>
  <ignoredErrors>
    <ignoredError sqref="C58:G58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2:H63"/>
  <sheetViews>
    <sheetView showGridLines="0" tabSelected="1" topLeftCell="A49" workbookViewId="0">
      <selection activeCell="H9" sqref="H9"/>
    </sheetView>
  </sheetViews>
  <sheetFormatPr defaultRowHeight="14.5"/>
  <cols>
    <col min="2" max="2" width="23.26953125" bestFit="1" customWidth="1"/>
    <col min="3" max="3" width="20.6328125" customWidth="1"/>
    <col min="4" max="8" width="14.08984375" bestFit="1" customWidth="1"/>
  </cols>
  <sheetData>
    <row r="12" spans="2:8">
      <c r="B12" s="37" t="s">
        <v>240</v>
      </c>
      <c r="C12" s="37"/>
      <c r="D12" s="37"/>
      <c r="E12" s="37"/>
      <c r="F12" s="37"/>
      <c r="G12" s="37"/>
      <c r="H12" s="37"/>
    </row>
    <row r="13" spans="2:8" ht="15" thickBot="1"/>
    <row r="14" spans="2:8" ht="15" thickBot="1">
      <c r="B14" s="15" t="s">
        <v>214</v>
      </c>
      <c r="C14" s="40">
        <v>2025</v>
      </c>
      <c r="D14" s="41">
        <f>C14+1</f>
        <v>2026</v>
      </c>
      <c r="E14" s="41">
        <f t="shared" ref="E14:H14" si="0">D14+1</f>
        <v>2027</v>
      </c>
      <c r="F14" s="41">
        <f t="shared" si="0"/>
        <v>2028</v>
      </c>
      <c r="G14" s="41">
        <f t="shared" si="0"/>
        <v>2029</v>
      </c>
      <c r="H14" s="41">
        <f t="shared" si="0"/>
        <v>2030</v>
      </c>
    </row>
    <row r="15" spans="2:8" ht="15" thickBot="1">
      <c r="B15" s="13"/>
      <c r="C15" s="13"/>
      <c r="D15" s="13"/>
      <c r="E15" s="13"/>
      <c r="F15" s="13"/>
      <c r="G15" s="13"/>
      <c r="H15" s="13"/>
    </row>
    <row r="16" spans="2:8" ht="15" thickBot="1">
      <c r="B16" s="13"/>
      <c r="C16" s="13"/>
      <c r="D16" s="13"/>
      <c r="E16" s="13"/>
      <c r="F16" s="13"/>
      <c r="G16" s="13"/>
      <c r="H16" s="13"/>
    </row>
    <row r="17" spans="2:8" ht="15" thickBot="1">
      <c r="B17" s="13" t="s">
        <v>230</v>
      </c>
      <c r="C17" s="18">
        <f>'Income Statement '!C31</f>
        <v>25091</v>
      </c>
      <c r="D17" s="18">
        <f>'Income Statement '!D31</f>
        <v>26883</v>
      </c>
      <c r="E17" s="18">
        <f>'Income Statement '!E31</f>
        <v>31481</v>
      </c>
      <c r="F17" s="18">
        <f>'Income Statement '!F31</f>
        <v>30967</v>
      </c>
      <c r="G17" s="18">
        <f>'Income Statement '!G31</f>
        <v>31151</v>
      </c>
      <c r="H17" s="18">
        <f>'Income Statement '!H31</f>
        <v>0</v>
      </c>
    </row>
    <row r="18" spans="2:8" ht="15" thickBot="1">
      <c r="B18" s="13"/>
      <c r="C18" s="13"/>
      <c r="D18" s="13"/>
      <c r="E18" s="13"/>
      <c r="F18" s="13"/>
      <c r="G18" s="13"/>
      <c r="H18" s="13"/>
    </row>
    <row r="19" spans="2:8" ht="15" thickBot="1">
      <c r="B19" s="13" t="s">
        <v>241</v>
      </c>
      <c r="C19" s="19">
        <f>25</f>
        <v>25</v>
      </c>
      <c r="D19" s="19">
        <f>25</f>
        <v>25</v>
      </c>
      <c r="E19" s="19">
        <f>25</f>
        <v>25</v>
      </c>
      <c r="F19" s="19">
        <f>25</f>
        <v>25</v>
      </c>
      <c r="G19" s="19">
        <f>25</f>
        <v>25</v>
      </c>
      <c r="H19" s="19">
        <f>25</f>
        <v>25</v>
      </c>
    </row>
    <row r="20" spans="2:8" ht="15" thickBot="1">
      <c r="B20" s="13"/>
      <c r="C20" s="13"/>
      <c r="D20" s="13"/>
      <c r="E20" s="13"/>
      <c r="F20" s="13"/>
      <c r="G20" s="13"/>
      <c r="H20" s="13"/>
    </row>
    <row r="21" spans="2:8" ht="15" thickBot="1">
      <c r="B21" s="13" t="s">
        <v>242</v>
      </c>
      <c r="C21" s="13">
        <f>C17*(1-C19)</f>
        <v>-602184</v>
      </c>
      <c r="D21" s="13">
        <f t="shared" ref="D21:H21" si="1">D17*(1-D19)</f>
        <v>-645192</v>
      </c>
      <c r="E21" s="13">
        <f t="shared" si="1"/>
        <v>-755544</v>
      </c>
      <c r="F21" s="13">
        <f t="shared" si="1"/>
        <v>-743208</v>
      </c>
      <c r="G21" s="13">
        <f t="shared" si="1"/>
        <v>-747624</v>
      </c>
      <c r="H21" s="13">
        <f t="shared" si="1"/>
        <v>0</v>
      </c>
    </row>
    <row r="22" spans="2:8" ht="15" thickBot="1">
      <c r="B22" s="13"/>
      <c r="C22" s="13"/>
      <c r="D22" s="13"/>
      <c r="E22" s="13"/>
      <c r="F22" s="13"/>
      <c r="G22" s="13"/>
      <c r="H22" s="13"/>
    </row>
    <row r="23" spans="2:8" ht="15" thickBot="1">
      <c r="B23" s="13" t="s">
        <v>243</v>
      </c>
      <c r="C23" s="20">
        <v>0.57679999999999998</v>
      </c>
      <c r="D23" s="20">
        <v>0.57679999999999998</v>
      </c>
      <c r="E23" s="20">
        <v>0.57679999999999998</v>
      </c>
      <c r="F23" s="20">
        <v>0.57679999999999998</v>
      </c>
      <c r="G23" s="20">
        <v>0.57679999999999998</v>
      </c>
      <c r="H23" s="20">
        <v>0.57679999999999998</v>
      </c>
    </row>
    <row r="24" spans="2:8" ht="15" thickBot="1">
      <c r="B24" s="13"/>
      <c r="C24" s="13"/>
      <c r="D24" s="13"/>
      <c r="E24" s="13"/>
      <c r="F24" s="13"/>
      <c r="G24" s="13"/>
      <c r="H24" s="13"/>
    </row>
    <row r="25" spans="2:8" ht="15" thickBot="1">
      <c r="B25" s="14" t="s">
        <v>244</v>
      </c>
      <c r="C25" s="21">
        <f>C21*(1-C23)</f>
        <v>-254844.26880000002</v>
      </c>
      <c r="D25" s="21">
        <f t="shared" ref="D25:H25" si="2">D21*(1-D23)</f>
        <v>-273045.25440000003</v>
      </c>
      <c r="E25" s="21">
        <f t="shared" si="2"/>
        <v>-319746.22080000001</v>
      </c>
      <c r="F25" s="21">
        <f t="shared" si="2"/>
        <v>-314525.62560000003</v>
      </c>
      <c r="G25" s="21">
        <f t="shared" si="2"/>
        <v>-316394.4768</v>
      </c>
      <c r="H25" s="21">
        <f t="shared" si="2"/>
        <v>0</v>
      </c>
    </row>
    <row r="26" spans="2:8" ht="15" thickBot="1">
      <c r="B26" s="13" t="s">
        <v>245</v>
      </c>
      <c r="C26" s="13">
        <v>0.5</v>
      </c>
      <c r="D26" s="13">
        <f>C26+1</f>
        <v>1.5</v>
      </c>
      <c r="E26" s="13">
        <f t="shared" ref="E26:H26" si="3">D26+1</f>
        <v>2.5</v>
      </c>
      <c r="F26" s="13">
        <f t="shared" si="3"/>
        <v>3.5</v>
      </c>
      <c r="G26" s="13">
        <f t="shared" si="3"/>
        <v>4.5</v>
      </c>
      <c r="H26" s="13">
        <f t="shared" si="3"/>
        <v>5.5</v>
      </c>
    </row>
    <row r="27" spans="2:8" ht="15" thickBot="1">
      <c r="B27" s="13" t="s">
        <v>246</v>
      </c>
      <c r="C27" s="13"/>
      <c r="D27" s="13"/>
      <c r="E27" s="13"/>
      <c r="F27" s="13"/>
      <c r="G27" s="13"/>
      <c r="H27" s="13"/>
    </row>
    <row r="29" spans="2:8">
      <c r="B29" s="37" t="s">
        <v>247</v>
      </c>
      <c r="C29" s="37"/>
    </row>
    <row r="30" spans="2:8" ht="15" thickBot="1"/>
    <row r="31" spans="2:8" ht="15" thickBot="1">
      <c r="B31" s="15" t="s">
        <v>248</v>
      </c>
      <c r="C31" s="20">
        <v>-1.6000000000000001E-3</v>
      </c>
    </row>
    <row r="32" spans="2:8" ht="15" thickBot="1">
      <c r="B32" s="15" t="s">
        <v>249</v>
      </c>
      <c r="C32" s="22">
        <v>0.04</v>
      </c>
    </row>
    <row r="33" spans="2:8" ht="15" thickBot="1">
      <c r="B33" s="15" t="s">
        <v>250</v>
      </c>
      <c r="C33" s="20">
        <v>7.3098999999999997E-2</v>
      </c>
    </row>
    <row r="36" spans="2:8">
      <c r="B36" s="37" t="s">
        <v>240</v>
      </c>
      <c r="C36" s="37"/>
      <c r="D36" s="37"/>
      <c r="E36" s="37"/>
      <c r="F36" s="37"/>
      <c r="G36" s="37"/>
      <c r="H36" s="37"/>
    </row>
    <row r="37" spans="2:8" ht="15" thickBot="1"/>
    <row r="38" spans="2:8" ht="15" thickBot="1">
      <c r="B38" s="13" t="s">
        <v>214</v>
      </c>
      <c r="C38" s="13"/>
    </row>
    <row r="39" spans="2:8" ht="15" thickBot="1">
      <c r="B39" s="13"/>
      <c r="C39" s="13"/>
    </row>
    <row r="40" spans="2:8" ht="15" thickBot="1">
      <c r="B40" s="13" t="s">
        <v>251</v>
      </c>
      <c r="C40" s="13">
        <f>H25*(1+C31)</f>
        <v>0</v>
      </c>
    </row>
    <row r="41" spans="2:8" ht="15" thickBot="1">
      <c r="B41" s="13" t="s">
        <v>252</v>
      </c>
      <c r="C41" s="20">
        <f>C33</f>
        <v>7.3098999999999997E-2</v>
      </c>
    </row>
    <row r="42" spans="2:8" ht="15" thickBot="1">
      <c r="B42" s="13" t="s">
        <v>253</v>
      </c>
      <c r="C42" s="22">
        <f>C32</f>
        <v>0.04</v>
      </c>
    </row>
    <row r="44" spans="2:8">
      <c r="B44" t="s">
        <v>249</v>
      </c>
      <c r="C44">
        <f>C40/(C41-C42)</f>
        <v>0</v>
      </c>
    </row>
    <row r="47" spans="2:8">
      <c r="B47" s="37" t="s">
        <v>254</v>
      </c>
      <c r="C47" s="37"/>
      <c r="D47" s="37"/>
      <c r="E47" s="37"/>
      <c r="F47" s="37"/>
      <c r="G47" s="37"/>
      <c r="H47" s="37"/>
    </row>
    <row r="49" spans="2:3" ht="15" thickBot="1"/>
    <row r="50" spans="2:3" ht="15" thickBot="1">
      <c r="B50" s="13" t="s">
        <v>255</v>
      </c>
      <c r="C50" s="21">
        <f>SUM(C25:H25)</f>
        <v>-1478555.8464000002</v>
      </c>
    </row>
    <row r="51" spans="2:3" ht="15" thickBot="1">
      <c r="B51" s="13" t="s">
        <v>256</v>
      </c>
      <c r="C51" s="13">
        <f>1/(1+$C$33)^D26</f>
        <v>0.89958108412130977</v>
      </c>
    </row>
    <row r="52" spans="2:3" ht="15" thickBot="1">
      <c r="B52" s="16" t="s">
        <v>257</v>
      </c>
      <c r="C52" s="21">
        <f>SUM(C50:C51)</f>
        <v>-1478554.9468189161</v>
      </c>
    </row>
    <row r="53" spans="2:3" ht="15" thickBot="1">
      <c r="B53" s="13"/>
      <c r="C53" s="13"/>
    </row>
    <row r="54" spans="2:3" ht="15" thickBot="1">
      <c r="B54" s="13" t="s">
        <v>258</v>
      </c>
      <c r="C54" s="18">
        <f>'Balance Sheet'!G50</f>
        <v>7293</v>
      </c>
    </row>
    <row r="55" spans="2:3" ht="15" thickBot="1">
      <c r="B55" s="13" t="s">
        <v>259</v>
      </c>
      <c r="C55" s="13">
        <f>SUM('Balance Sheet'!G22,'Balance Sheet'!G28)</f>
        <v>0</v>
      </c>
    </row>
    <row r="56" spans="2:3" ht="15" thickBot="1">
      <c r="B56" s="13"/>
      <c r="C56" s="13"/>
    </row>
    <row r="57" spans="2:3" ht="15" thickBot="1">
      <c r="B57" s="17" t="s">
        <v>260</v>
      </c>
      <c r="C57" s="21">
        <f>C52+C54-C55</f>
        <v>-1471261.9468189161</v>
      </c>
    </row>
    <row r="58" spans="2:3" ht="15" thickBot="1">
      <c r="B58" s="17" t="s">
        <v>261</v>
      </c>
      <c r="C58" s="23">
        <v>2349735216</v>
      </c>
    </row>
    <row r="59" spans="2:3" ht="15" thickBot="1">
      <c r="B59" s="17"/>
      <c r="C59" s="13"/>
    </row>
    <row r="60" spans="2:3" ht="15" thickBot="1">
      <c r="B60" s="15" t="s">
        <v>262</v>
      </c>
      <c r="C60" s="13">
        <f>C57/C58</f>
        <v>-6.2613946320448568E-4</v>
      </c>
    </row>
    <row r="61" spans="2:3" ht="15" thickBot="1">
      <c r="B61" s="13"/>
      <c r="C61" s="13"/>
    </row>
    <row r="62" spans="2:3" ht="15" thickBot="1">
      <c r="B62" s="17" t="s">
        <v>263</v>
      </c>
      <c r="C62" s="23">
        <v>2465</v>
      </c>
    </row>
    <row r="63" spans="2:3" ht="15" thickBot="1">
      <c r="B63" s="14" t="s">
        <v>264</v>
      </c>
      <c r="C63" s="13">
        <f>C62/C60-1</f>
        <v>-3936823.616776953</v>
      </c>
    </row>
  </sheetData>
  <mergeCells count="4">
    <mergeCell ref="B36:H36"/>
    <mergeCell ref="B47:H47"/>
    <mergeCell ref="B29:C29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Income Statement </vt:lpstr>
      <vt:lpstr>Balance Sheet</vt:lpstr>
      <vt:lpstr>Ratio Analysis</vt:lpstr>
      <vt:lpstr>Weight Average Cost of Capital </vt:lpstr>
      <vt:lpstr>Intrinsic Growth </vt:lpstr>
      <vt:lpstr>DCF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2025-07-21T08:45:04Z</dcterms:created>
  <dcterms:modified xsi:type="dcterms:W3CDTF">2025-07-21T19:03:29Z</dcterms:modified>
</cp:coreProperties>
</file>