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10" sheetId="10" r:id="rId9"/>
    <sheet name="Sheet9" sheetId="9" r:id="rId10"/>
  </sheets>
  <calcPr calcId="124519"/>
</workbook>
</file>

<file path=xl/calcChain.xml><?xml version="1.0" encoding="utf-8"?>
<calcChain xmlns="http://schemas.openxmlformats.org/spreadsheetml/2006/main">
  <c r="R20" i="10"/>
  <c r="T20"/>
  <c r="S18"/>
  <c r="Q18"/>
  <c r="T17"/>
  <c r="S17"/>
  <c r="R17"/>
  <c r="Q17"/>
  <c r="T19"/>
  <c r="S19"/>
  <c r="R19"/>
  <c r="Q19"/>
  <c r="T18"/>
  <c r="R18"/>
  <c r="S16"/>
  <c r="T16"/>
  <c r="Q16"/>
  <c r="R16"/>
  <c r="J40" i="7"/>
  <c r="C41"/>
  <c r="C42"/>
  <c r="P52" i="8"/>
  <c r="Q52"/>
  <c r="O52"/>
  <c r="O19" l="1"/>
  <c r="P50"/>
  <c r="Q50"/>
  <c r="O50"/>
  <c r="Q45" l="1"/>
  <c r="P48"/>
  <c r="Q48"/>
  <c r="P47"/>
  <c r="O47"/>
  <c r="P46"/>
  <c r="Q46"/>
  <c r="P45"/>
  <c r="O48"/>
  <c r="O46"/>
  <c r="O45"/>
  <c r="P20"/>
  <c r="P21"/>
  <c r="P22"/>
  <c r="P23"/>
  <c r="P24"/>
  <c r="P25"/>
  <c r="P26"/>
  <c r="P27"/>
  <c r="P28"/>
  <c r="P29"/>
  <c r="P30"/>
  <c r="P31"/>
  <c r="P32"/>
  <c r="P19"/>
  <c r="P39" s="1"/>
  <c r="M20"/>
  <c r="M21"/>
  <c r="M22"/>
  <c r="M23"/>
  <c r="M24"/>
  <c r="M25"/>
  <c r="M26"/>
  <c r="M27"/>
  <c r="M28"/>
  <c r="M29"/>
  <c r="M30"/>
  <c r="M31"/>
  <c r="M32"/>
  <c r="M19"/>
  <c r="K20"/>
  <c r="K21"/>
  <c r="K22"/>
  <c r="K23"/>
  <c r="K24"/>
  <c r="K25"/>
  <c r="K26"/>
  <c r="K27"/>
  <c r="K28"/>
  <c r="K29"/>
  <c r="K30"/>
  <c r="K31"/>
  <c r="K32"/>
  <c r="K19"/>
  <c r="G20"/>
  <c r="G21"/>
  <c r="G22"/>
  <c r="G23"/>
  <c r="G24"/>
  <c r="G25"/>
  <c r="G26"/>
  <c r="G27"/>
  <c r="G28"/>
  <c r="G29"/>
  <c r="G30"/>
  <c r="G31"/>
  <c r="G32"/>
  <c r="G19"/>
  <c r="I5" i="9"/>
  <c r="I6"/>
  <c r="I7"/>
  <c r="I8"/>
  <c r="I9"/>
  <c r="I10"/>
  <c r="I11"/>
  <c r="I12"/>
  <c r="I13"/>
  <c r="I14"/>
  <c r="I15"/>
  <c r="I16"/>
  <c r="I17"/>
  <c r="I4"/>
  <c r="F5"/>
  <c r="F6"/>
  <c r="F7"/>
  <c r="F8"/>
  <c r="F9"/>
  <c r="F10"/>
  <c r="F11"/>
  <c r="F12"/>
  <c r="F13"/>
  <c r="F14"/>
  <c r="F15"/>
  <c r="F16"/>
  <c r="F17"/>
  <c r="F4"/>
  <c r="E19" i="8"/>
  <c r="E20"/>
  <c r="E21"/>
  <c r="E22"/>
  <c r="E23"/>
  <c r="F23" s="1"/>
  <c r="E24"/>
  <c r="E25"/>
  <c r="E26"/>
  <c r="E27"/>
  <c r="F27" s="1"/>
  <c r="E28"/>
  <c r="E29"/>
  <c r="E30"/>
  <c r="E31"/>
  <c r="F31" s="1"/>
  <c r="E32"/>
  <c r="D20"/>
  <c r="F20" s="1"/>
  <c r="D21"/>
  <c r="F21" s="1"/>
  <c r="D22"/>
  <c r="F22" s="1"/>
  <c r="D23"/>
  <c r="D24"/>
  <c r="F24" s="1"/>
  <c r="D25"/>
  <c r="F25" s="1"/>
  <c r="D26"/>
  <c r="F26" s="1"/>
  <c r="D27"/>
  <c r="D28"/>
  <c r="F28" s="1"/>
  <c r="D29"/>
  <c r="F29" s="1"/>
  <c r="D30"/>
  <c r="F30" s="1"/>
  <c r="D31"/>
  <c r="D32"/>
  <c r="F32" s="1"/>
  <c r="D19"/>
  <c r="F19" s="1"/>
  <c r="B32"/>
  <c r="B20"/>
  <c r="B21"/>
  <c r="B22"/>
  <c r="B23"/>
  <c r="B24"/>
  <c r="B25"/>
  <c r="B26"/>
  <c r="B27"/>
  <c r="B28"/>
  <c r="B29"/>
  <c r="B30"/>
  <c r="B31"/>
  <c r="B19"/>
  <c r="H22" l="1"/>
  <c r="O22" s="1"/>
  <c r="Q22"/>
  <c r="H32"/>
  <c r="O32" s="1"/>
  <c r="Q32"/>
  <c r="Q28"/>
  <c r="H28"/>
  <c r="O28" s="1"/>
  <c r="H24"/>
  <c r="O24" s="1"/>
  <c r="Q24"/>
  <c r="Q20"/>
  <c r="H20"/>
  <c r="O20" s="1"/>
  <c r="Q19"/>
  <c r="H19"/>
  <c r="Q29"/>
  <c r="H29"/>
  <c r="O29" s="1"/>
  <c r="Q25"/>
  <c r="H25"/>
  <c r="O25" s="1"/>
  <c r="Q21"/>
  <c r="H21"/>
  <c r="O21" s="1"/>
  <c r="H30"/>
  <c r="O30" s="1"/>
  <c r="Q30"/>
  <c r="H26"/>
  <c r="O26" s="1"/>
  <c r="Q26"/>
  <c r="H31"/>
  <c r="O31" s="1"/>
  <c r="Q31"/>
  <c r="H27"/>
  <c r="O27" s="1"/>
  <c r="Q27"/>
  <c r="H23"/>
  <c r="O23" s="1"/>
  <c r="Q23"/>
  <c r="P36"/>
  <c r="P40"/>
  <c r="P37"/>
  <c r="P35"/>
  <c r="P38"/>
  <c r="O37" l="1"/>
  <c r="O40"/>
  <c r="O36"/>
  <c r="O39"/>
  <c r="O35"/>
  <c r="O38"/>
  <c r="Q38"/>
  <c r="Q37"/>
  <c r="Q40"/>
  <c r="Q36"/>
  <c r="Q39"/>
  <c r="Q35"/>
  <c r="C55" i="7" l="1"/>
  <c r="C54"/>
  <c r="D25"/>
  <c r="C51" s="1"/>
  <c r="C22"/>
  <c r="D22" s="1"/>
  <c r="E22" s="1"/>
  <c r="F22" s="1"/>
  <c r="G22" s="1"/>
  <c r="C16"/>
  <c r="D16" s="1"/>
  <c r="D14"/>
  <c r="E14" s="1"/>
  <c r="F14" s="1"/>
  <c r="G14" s="1"/>
  <c r="H14" s="1"/>
  <c r="C80" i="6"/>
  <c r="C79"/>
  <c r="D77"/>
  <c r="E77"/>
  <c r="F77"/>
  <c r="G77"/>
  <c r="C77"/>
  <c r="E72"/>
  <c r="F72"/>
  <c r="G72"/>
  <c r="D72"/>
  <c r="D75"/>
  <c r="E75"/>
  <c r="F75"/>
  <c r="G75"/>
  <c r="C75"/>
  <c r="D74"/>
  <c r="E74"/>
  <c r="F74"/>
  <c r="G74"/>
  <c r="C74"/>
  <c r="B75"/>
  <c r="C69"/>
  <c r="C68"/>
  <c r="D66"/>
  <c r="E66"/>
  <c r="F66"/>
  <c r="G66"/>
  <c r="C66"/>
  <c r="D65"/>
  <c r="E65"/>
  <c r="F65"/>
  <c r="G65"/>
  <c r="C65"/>
  <c r="D63"/>
  <c r="E63"/>
  <c r="F63"/>
  <c r="G63"/>
  <c r="C63"/>
  <c r="D61"/>
  <c r="E61"/>
  <c r="F61"/>
  <c r="G61"/>
  <c r="C61"/>
  <c r="D58"/>
  <c r="D59" s="1"/>
  <c r="E58"/>
  <c r="E59" s="1"/>
  <c r="F58"/>
  <c r="F59" s="1"/>
  <c r="G58"/>
  <c r="G59" s="1"/>
  <c r="C58"/>
  <c r="D56"/>
  <c r="E56" s="1"/>
  <c r="F56" s="1"/>
  <c r="G56" s="1"/>
  <c r="C44"/>
  <c r="D44"/>
  <c r="E44"/>
  <c r="F44"/>
  <c r="G44"/>
  <c r="B44"/>
  <c r="G43"/>
  <c r="C35"/>
  <c r="D35"/>
  <c r="E35"/>
  <c r="E43" s="1"/>
  <c r="F35"/>
  <c r="G35"/>
  <c r="C36"/>
  <c r="D36"/>
  <c r="E36"/>
  <c r="F36"/>
  <c r="G36"/>
  <c r="C37"/>
  <c r="D37"/>
  <c r="E37"/>
  <c r="F37"/>
  <c r="G37"/>
  <c r="C38"/>
  <c r="D38"/>
  <c r="E38"/>
  <c r="F38"/>
  <c r="G38"/>
  <c r="C39"/>
  <c r="D39"/>
  <c r="E39"/>
  <c r="F39"/>
  <c r="G39"/>
  <c r="C40"/>
  <c r="D40"/>
  <c r="E40"/>
  <c r="F40"/>
  <c r="G40"/>
  <c r="C41"/>
  <c r="D41"/>
  <c r="E41"/>
  <c r="F41"/>
  <c r="G41"/>
  <c r="C42"/>
  <c r="D42"/>
  <c r="E42"/>
  <c r="F42"/>
  <c r="G42"/>
  <c r="D34"/>
  <c r="D43" s="1"/>
  <c r="D46" s="1"/>
  <c r="E34"/>
  <c r="F34"/>
  <c r="F43" s="1"/>
  <c r="F46" s="1"/>
  <c r="G34"/>
  <c r="C34"/>
  <c r="C43" s="1"/>
  <c r="B42"/>
  <c r="B41"/>
  <c r="B40"/>
  <c r="B35"/>
  <c r="B36"/>
  <c r="B37"/>
  <c r="B38"/>
  <c r="B39"/>
  <c r="B34"/>
  <c r="C26"/>
  <c r="D26"/>
  <c r="E26"/>
  <c r="F26"/>
  <c r="G26"/>
  <c r="C27"/>
  <c r="D27"/>
  <c r="E27"/>
  <c r="F27"/>
  <c r="G27"/>
  <c r="C28"/>
  <c r="D28"/>
  <c r="E28"/>
  <c r="F28"/>
  <c r="G28"/>
  <c r="D25"/>
  <c r="D29" s="1"/>
  <c r="E25"/>
  <c r="E29" s="1"/>
  <c r="F25"/>
  <c r="F29" s="1"/>
  <c r="G25"/>
  <c r="G29" s="1"/>
  <c r="C25"/>
  <c r="C29" s="1"/>
  <c r="B26"/>
  <c r="B27"/>
  <c r="B28"/>
  <c r="B25"/>
  <c r="C18"/>
  <c r="D18"/>
  <c r="D22" s="1"/>
  <c r="D31" s="1"/>
  <c r="E18"/>
  <c r="F18"/>
  <c r="G18"/>
  <c r="C19"/>
  <c r="C22" s="1"/>
  <c r="C31" s="1"/>
  <c r="D19"/>
  <c r="E19"/>
  <c r="F19"/>
  <c r="G19"/>
  <c r="C20"/>
  <c r="D20"/>
  <c r="E20"/>
  <c r="F20"/>
  <c r="F22" s="1"/>
  <c r="F31" s="1"/>
  <c r="G20"/>
  <c r="C21"/>
  <c r="D21"/>
  <c r="E21"/>
  <c r="F21"/>
  <c r="G21"/>
  <c r="D17"/>
  <c r="E17"/>
  <c r="E22" s="1"/>
  <c r="E31" s="1"/>
  <c r="F17"/>
  <c r="G17"/>
  <c r="G22" s="1"/>
  <c r="C17"/>
  <c r="B18"/>
  <c r="B19"/>
  <c r="B20"/>
  <c r="B21"/>
  <c r="B17"/>
  <c r="D14"/>
  <c r="E14" s="1"/>
  <c r="F14" s="1"/>
  <c r="G14" s="1"/>
  <c r="T30" i="5"/>
  <c r="T29"/>
  <c r="S46"/>
  <c r="S44"/>
  <c r="T45"/>
  <c r="T44"/>
  <c r="G37"/>
  <c r="T37"/>
  <c r="S45"/>
  <c r="F38"/>
  <c r="H29"/>
  <c r="K17"/>
  <c r="K18"/>
  <c r="K19"/>
  <c r="K20"/>
  <c r="K16"/>
  <c r="I17"/>
  <c r="I18"/>
  <c r="I19"/>
  <c r="I20"/>
  <c r="I16"/>
  <c r="H18"/>
  <c r="H19"/>
  <c r="H20"/>
  <c r="H17"/>
  <c r="H16"/>
  <c r="D20" i="7" l="1"/>
  <c r="D24" s="1"/>
  <c r="E16"/>
  <c r="C20"/>
  <c r="C24" s="1"/>
  <c r="E25"/>
  <c r="F25" s="1"/>
  <c r="G25" s="1"/>
  <c r="H25" s="1"/>
  <c r="D48" i="6"/>
  <c r="G31"/>
  <c r="F48"/>
  <c r="E46"/>
  <c r="E48" s="1"/>
  <c r="G46"/>
  <c r="G48" s="1"/>
  <c r="C46"/>
  <c r="C48" s="1"/>
  <c r="H38" i="5"/>
  <c r="H37" s="1"/>
  <c r="H41" s="1"/>
  <c r="G38"/>
  <c r="G36"/>
  <c r="G41" s="1"/>
  <c r="F16" i="7" l="1"/>
  <c r="E20"/>
  <c r="E24" s="1"/>
  <c r="G16" l="1"/>
  <c r="F20"/>
  <c r="F24" s="1"/>
  <c r="H16" l="1"/>
  <c r="H20" s="1"/>
  <c r="H24" s="1"/>
  <c r="G20"/>
  <c r="G24" s="1"/>
  <c r="C40" l="1"/>
  <c r="C45" s="1"/>
  <c r="C50"/>
  <c r="C52" s="1"/>
  <c r="C57" s="1"/>
  <c r="C60" s="1"/>
  <c r="C63" s="1"/>
  <c r="D35" i="2" l="1"/>
  <c r="E35"/>
  <c r="F35"/>
  <c r="G35"/>
  <c r="C35"/>
  <c r="D32"/>
  <c r="E32"/>
  <c r="F32"/>
  <c r="G32"/>
  <c r="C32"/>
  <c r="D28"/>
  <c r="E28"/>
  <c r="F28"/>
  <c r="G28"/>
  <c r="C28"/>
  <c r="D26"/>
  <c r="E26"/>
  <c r="F26"/>
  <c r="G26"/>
  <c r="C26"/>
  <c r="G23"/>
  <c r="D21"/>
  <c r="E21"/>
  <c r="F21"/>
  <c r="G21"/>
  <c r="C21"/>
  <c r="D19"/>
  <c r="D23" s="1"/>
  <c r="E19"/>
  <c r="E23" s="1"/>
  <c r="F19"/>
  <c r="F23" s="1"/>
  <c r="G19"/>
  <c r="C19"/>
  <c r="C23" s="1"/>
  <c r="D17"/>
  <c r="C17"/>
  <c r="D15"/>
  <c r="E15"/>
  <c r="F15"/>
  <c r="G15"/>
  <c r="C15"/>
  <c r="D13"/>
  <c r="E13"/>
  <c r="E17" s="1"/>
  <c r="E25" s="1"/>
  <c r="E30" s="1"/>
  <c r="F13"/>
  <c r="F17" s="1"/>
  <c r="F25" s="1"/>
  <c r="F30" s="1"/>
  <c r="G13"/>
  <c r="G17" s="1"/>
  <c r="G25" s="1"/>
  <c r="G30" s="1"/>
  <c r="C13"/>
  <c r="D11"/>
  <c r="E11" s="1"/>
  <c r="F11" s="1"/>
  <c r="G11" s="1"/>
  <c r="F49" i="6" l="1"/>
  <c r="F51" s="1"/>
  <c r="F34" i="2"/>
  <c r="F36" s="1"/>
  <c r="G49" i="6"/>
  <c r="G51" s="1"/>
  <c r="G34" i="2"/>
  <c r="G36" s="1"/>
  <c r="C25"/>
  <c r="C30" s="1"/>
  <c r="E49" i="6"/>
  <c r="E51" s="1"/>
  <c r="E34" i="2"/>
  <c r="E36" s="1"/>
  <c r="D25"/>
  <c r="D30" s="1"/>
  <c r="C49" i="6" l="1"/>
  <c r="C51" s="1"/>
  <c r="C34" i="2"/>
  <c r="C36" s="1"/>
  <c r="D49" i="6"/>
  <c r="D51" s="1"/>
  <c r="D34" i="2"/>
  <c r="D36" s="1"/>
</calcChain>
</file>

<file path=xl/sharedStrings.xml><?xml version="1.0" encoding="utf-8"?>
<sst xmlns="http://schemas.openxmlformats.org/spreadsheetml/2006/main" count="422" uniqueCount="309">
  <si>
    <t>Profit &amp; Loss account of ITC (in Rs. Cr.)</t>
  </si>
  <si>
    <t xml:space="preserve"> </t>
  </si>
  <si>
    <t>12 mths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</si>
  <si>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</si>
  <si>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</si>
  <si>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</si>
  <si>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</si>
  <si>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</si>
  <si>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</si>
  <si>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</si>
  <si>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</si>
  <si>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</si>
  <si>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</si>
  <si>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</si>
  <si>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</si>
  <si>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</si>
  <si>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</si>
  <si>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</si>
  <si>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</si>
  <si>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</si>
  <si>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</si>
  <si>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</si>
  <si>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</si>
  <si>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</si>
  <si>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</si>
  <si>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</si>
  <si>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</si>
  <si>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</si>
  <si>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</si>
  <si>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</si>
  <si>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</si>
  <si>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</si>
  <si>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</si>
  <si>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</si>
  <si>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</si>
  <si>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</si>
  <si>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</si>
  <si>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</si>
  <si>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</si>
  <si>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</si>
  <si>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</si>
  <si>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</si>
  <si>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</si>
  <si>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</si>
  <si>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</si>
  <si>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</si>
  <si>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Balance Sheet of ITC (in Rs. Cr.)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</si>
  <si>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</si>
  <si>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</si>
  <si>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</si>
  <si>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</si>
  <si>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</si>
  <si>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</si>
  <si>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</si>
  <si>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</si>
  <si>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</si>
  <si>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</si>
  <si>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</si>
  <si>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</si>
  <si>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</si>
  <si>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</si>
  <si>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</si>
  <si>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</si>
  <si>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</si>
  <si>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</si>
  <si>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</si>
  <si>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</si>
  <si>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</si>
  <si>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</si>
  <si>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</si>
  <si>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</si>
  <si>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</si>
  <si>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</si>
  <si>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</si>
  <si>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</si>
  <si>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</si>
  <si>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</si>
  <si>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</si>
  <si>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</si>
  <si>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</si>
  <si>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</si>
  <si>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</si>
  <si>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</si>
  <si>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</si>
  <si>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</si>
  <si>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</si>
  <si>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</si>
  <si>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</si>
  <si>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</si>
  <si>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</si>
  <si>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</si>
  <si>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</si>
  <si>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</si>
  <si>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</si>
  <si>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</si>
  <si>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</si>
  <si>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</si>
  <si>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</si>
  <si>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</si>
  <si>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</si>
  <si>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</si>
  <si>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</si>
  <si>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</si>
  <si>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</si>
  <si>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</si>
  <si>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</si>
  <si>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</si>
  <si>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</si>
  <si>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</si>
  <si>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</si>
  <si>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</si>
  <si>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Particulars</t>
  </si>
  <si>
    <t>1. Revenue</t>
  </si>
  <si>
    <t>  - Net Sales</t>
  </si>
  <si>
    <t>2. Cost of goods sold</t>
  </si>
  <si>
    <t>3. Gross profit</t>
  </si>
  <si>
    <t>4. Operating expenses</t>
  </si>
  <si>
    <t>  - Selling, general and administrative (Payroll)</t>
  </si>
  <si>
    <t>  - Other Operating Expenses</t>
  </si>
  <si>
    <t>5. Total operating expenses</t>
  </si>
  <si>
    <t>6. EBITDA</t>
  </si>
  <si>
    <t>7. Depreciation and amortization</t>
  </si>
  <si>
    <t>8. Other Income</t>
  </si>
  <si>
    <t>9. EBIT</t>
  </si>
  <si>
    <t>10. Interest</t>
  </si>
  <si>
    <t>  - Interest expense (Debt)</t>
  </si>
  <si>
    <t>11. EBT</t>
  </si>
  <si>
    <t>12. Income tax expense</t>
  </si>
  <si>
    <t>13. Net Income (Adjusted)</t>
  </si>
  <si>
    <t>Debt/</t>
  </si>
  <si>
    <t>Leverage</t>
  </si>
  <si>
    <t>S.R. NO.</t>
  </si>
  <si>
    <t xml:space="preserve">Company </t>
  </si>
  <si>
    <t xml:space="preserve">Country </t>
  </si>
  <si>
    <t xml:space="preserve">Total Debt </t>
  </si>
  <si>
    <t xml:space="preserve">Total Equity </t>
  </si>
  <si>
    <t xml:space="preserve">Tax Rate </t>
  </si>
  <si>
    <t>Equity</t>
  </si>
  <si>
    <t xml:space="preserve">Capital </t>
  </si>
  <si>
    <r>
      <t>Beta</t>
    </r>
    <r>
      <rPr>
        <vertAlign val="superscript"/>
        <sz val="11"/>
        <color theme="0"/>
        <rFont val="Calibri"/>
        <family val="2"/>
        <scheme val="minor"/>
      </rPr>
      <t xml:space="preserve"> 1</t>
    </r>
  </si>
  <si>
    <r>
      <t>Beta</t>
    </r>
    <r>
      <rPr>
        <vertAlign val="superscript"/>
        <sz val="11"/>
        <color theme="0"/>
        <rFont val="Calibri"/>
        <family val="2"/>
        <scheme val="minor"/>
      </rPr>
      <t xml:space="preserve"> 2</t>
    </r>
  </si>
  <si>
    <t>Hind. Unilever</t>
  </si>
  <si>
    <t>ITC</t>
  </si>
  <si>
    <t>Nestle India</t>
  </si>
  <si>
    <t>Varun Beverages</t>
  </si>
  <si>
    <t>Britannia Inds.</t>
  </si>
  <si>
    <t>Godrej Consumer</t>
  </si>
  <si>
    <t>Tata Consumer</t>
  </si>
  <si>
    <t>United Spirits</t>
  </si>
  <si>
    <t>Dabur India</t>
  </si>
  <si>
    <t>Marico</t>
  </si>
  <si>
    <t>Patanjali Foods</t>
  </si>
  <si>
    <t>Colgate-Palmoliv</t>
  </si>
  <si>
    <t>United Breweries</t>
  </si>
  <si>
    <t>Godfrey Phillips</t>
  </si>
  <si>
    <t>P &amp; G Hygiene</t>
  </si>
  <si>
    <t>India</t>
  </si>
  <si>
    <t>S.No.</t>
  </si>
  <si>
    <t>Name</t>
  </si>
  <si>
    <t>CMP Rs.</t>
  </si>
  <si>
    <t>No. Eq. Shares Cr.</t>
  </si>
  <si>
    <t>Debt Rs.Cr.</t>
  </si>
  <si>
    <t>Cash End Rs.Cr.</t>
  </si>
  <si>
    <t>EV Rs.Cr.</t>
  </si>
  <si>
    <t>Sales Rs.Cr.</t>
  </si>
  <si>
    <t>EV / EBITDA</t>
  </si>
  <si>
    <t>NP 12M Rs.Cr.</t>
  </si>
  <si>
    <t>Mar Cap Rs.Cr. </t>
  </si>
  <si>
    <t xml:space="preserve">Cost of Debt </t>
  </si>
  <si>
    <t xml:space="preserve">Pre- tax cost of Debt </t>
  </si>
  <si>
    <t xml:space="preserve">Post -tax cost of debt </t>
  </si>
  <si>
    <t xml:space="preserve">Cost of Equity  </t>
  </si>
  <si>
    <t>Risk free rate</t>
  </si>
  <si>
    <t xml:space="preserve">Equity risk premium </t>
  </si>
  <si>
    <r>
      <t>Leverage beta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</si>
  <si>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 xml:space="preserve">Cost of EQUITY </t>
  </si>
  <si>
    <t xml:space="preserve">CAPITAL STRUCTURE </t>
  </si>
  <si>
    <t xml:space="preserve">Current </t>
  </si>
  <si>
    <t xml:space="preserve">Target </t>
  </si>
  <si>
    <t xml:space="preserve">Market Capitalism </t>
  </si>
  <si>
    <t xml:space="preserve">Total Capital </t>
  </si>
  <si>
    <t>Leverage Beta</t>
  </si>
  <si>
    <t>Company Median Unlevered Beta</t>
  </si>
  <si>
    <t xml:space="preserve">Target Debt/Equity </t>
  </si>
  <si>
    <t>Tax rate</t>
  </si>
  <si>
    <t xml:space="preserve">Leverage Beta </t>
  </si>
  <si>
    <t xml:space="preserve">Debt/Equity </t>
  </si>
  <si>
    <t xml:space="preserve">Weight Average Cost of Capital </t>
  </si>
  <si>
    <t>Total Cost</t>
  </si>
  <si>
    <t xml:space="preserve">Total Weight </t>
  </si>
  <si>
    <t xml:space="preserve">Debt </t>
  </si>
  <si>
    <t xml:space="preserve">Equity </t>
  </si>
  <si>
    <t>Calculation Of Return on Invested Capital (ROIC)</t>
  </si>
  <si>
    <t xml:space="preserve">Particular </t>
  </si>
  <si>
    <t xml:space="preserve">Current Asset </t>
  </si>
  <si>
    <t xml:space="preserve">Net Current Asset </t>
  </si>
  <si>
    <t xml:space="preserve">Current Liability </t>
  </si>
  <si>
    <t xml:space="preserve">Net Current Liability </t>
  </si>
  <si>
    <t xml:space="preserve">Net Working Capital </t>
  </si>
  <si>
    <t xml:space="preserve">Non-Current Asset </t>
  </si>
  <si>
    <t xml:space="preserve">Gross Block </t>
  </si>
  <si>
    <t xml:space="preserve">Net Non Current Asset </t>
  </si>
  <si>
    <t xml:space="preserve">Investing Capital </t>
  </si>
  <si>
    <t xml:space="preserve">EBIT </t>
  </si>
  <si>
    <t>Return on Invested Capital (ROIC)</t>
  </si>
  <si>
    <t>Calculation OF Reinvestment</t>
  </si>
  <si>
    <t xml:space="preserve">Net Capex </t>
  </si>
  <si>
    <t>Profit from operations</t>
  </si>
  <si>
    <t>Receivables</t>
  </si>
  <si>
    <t>Inventory</t>
  </si>
  <si>
    <t>Payables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</si>
  <si>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</si>
  <si>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</si>
  <si>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</si>
  <si>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</si>
  <si>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</si>
  <si>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</si>
  <si>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</si>
  <si>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</si>
  <si>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</si>
  <si>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</si>
  <si>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</si>
  <si>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</si>
  <si>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</si>
  <si>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</si>
  <si>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</si>
  <si>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</si>
  <si>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</si>
  <si>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</si>
  <si>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</si>
  <si>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</si>
  <si>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</si>
  <si>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</si>
  <si>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Net Workingb Capital</t>
  </si>
  <si>
    <t xml:space="preserve">Margin Tax Rate </t>
  </si>
  <si>
    <t>EBIT (1-TAX)</t>
  </si>
  <si>
    <t xml:space="preserve">Reinvestment </t>
  </si>
  <si>
    <t xml:space="preserve">Reinvestment  Rate </t>
  </si>
  <si>
    <t>5 Year Average</t>
  </si>
  <si>
    <t xml:space="preserve">5 YEAR Median  </t>
  </si>
  <si>
    <t>Calculation of Growth Rate</t>
  </si>
  <si>
    <t xml:space="preserve">Reinvestment Rate </t>
  </si>
  <si>
    <t xml:space="preserve">Intrinsic Growth </t>
  </si>
  <si>
    <t>5 Year Median</t>
  </si>
  <si>
    <t xml:space="preserve">Calculation  of PV of FCFF </t>
  </si>
  <si>
    <t xml:space="preserve">Tax rate </t>
  </si>
  <si>
    <t>EBIT ( 1- TAX )</t>
  </si>
  <si>
    <t>LESS : Reinvestment rate</t>
  </si>
  <si>
    <t xml:space="preserve">Free Cash Flow Statement </t>
  </si>
  <si>
    <t xml:space="preserve">Mid Year Convention </t>
  </si>
  <si>
    <t xml:space="preserve">Discount Factor </t>
  </si>
  <si>
    <t>PV OF FCFF</t>
  </si>
  <si>
    <t xml:space="preserve">Expected Growth </t>
  </si>
  <si>
    <t xml:space="preserve">Terminal Growth </t>
  </si>
  <si>
    <t xml:space="preserve">WACC </t>
  </si>
  <si>
    <t>FCFF (N+1)</t>
  </si>
  <si>
    <t>WACC</t>
  </si>
  <si>
    <t xml:space="preserve">Termial Growth rate </t>
  </si>
  <si>
    <t>Terminal Growth</t>
  </si>
  <si>
    <t xml:space="preserve">Caluclatio of Equity Value per Share </t>
  </si>
  <si>
    <t xml:space="preserve">PV OF FCFF </t>
  </si>
  <si>
    <t xml:space="preserve">PV  of Termimal Value </t>
  </si>
  <si>
    <t xml:space="preserve">Value of Operation Asset </t>
  </si>
  <si>
    <t xml:space="preserve">Add : Cash </t>
  </si>
  <si>
    <t xml:space="preserve">Less : Debt </t>
  </si>
  <si>
    <t xml:space="preserve">Value of Equity </t>
  </si>
  <si>
    <t xml:space="preserve">No of Share </t>
  </si>
  <si>
    <t xml:space="preserve">Equity Value per Share </t>
  </si>
  <si>
    <t xml:space="preserve">Share Price </t>
  </si>
  <si>
    <t xml:space="preserve">Discount/Premium </t>
  </si>
  <si>
    <t>Market Data</t>
  </si>
  <si>
    <t>Financials</t>
  </si>
  <si>
    <t>Valuation</t>
  </si>
  <si>
    <t>Company</t>
  </si>
  <si>
    <t>Ticker</t>
  </si>
  <si>
    <t>Share Price</t>
  </si>
  <si>
    <t>Shares Outstanding</t>
  </si>
  <si>
    <t>Equity Value</t>
  </si>
  <si>
    <t>Net Debt</t>
  </si>
  <si>
    <t>Enterprise Value</t>
  </si>
  <si>
    <t>Revenue</t>
  </si>
  <si>
    <t>EBITDA</t>
  </si>
  <si>
    <t>Net Income</t>
  </si>
  <si>
    <t>EV/Revenue</t>
  </si>
  <si>
    <t>EV/EBITDA</t>
  </si>
  <si>
    <t>P/E</t>
  </si>
  <si>
    <t>Market CAP</t>
  </si>
  <si>
    <t xml:space="preserve">Net Debt </t>
  </si>
  <si>
    <t>High</t>
  </si>
  <si>
    <t>75th Percentile</t>
  </si>
  <si>
    <t>Average</t>
  </si>
  <si>
    <t>Median</t>
  </si>
  <si>
    <t>25th Percentile</t>
  </si>
  <si>
    <t>Low</t>
  </si>
  <si>
    <t>Adani Enterp.  Comparable Valuation</t>
  </si>
  <si>
    <t>Implied Enterprise Value</t>
  </si>
  <si>
    <t>Implied Market Value</t>
  </si>
  <si>
    <t>Implied Value per Share</t>
  </si>
  <si>
    <t xml:space="preserve">Source : MoneyControl , Akshay Nigam </t>
  </si>
  <si>
    <t xml:space="preserve">Amount in Crore </t>
  </si>
  <si>
    <t>Comparable Company Valuation</t>
  </si>
  <si>
    <t>Football Field Analysis - Data</t>
  </si>
  <si>
    <t>OpenLow</t>
  </si>
  <si>
    <t>OpenHigh</t>
  </si>
  <si>
    <t>Comps</t>
  </si>
  <si>
    <t>DCF Bear</t>
  </si>
  <si>
    <t>DCF Base</t>
  </si>
  <si>
    <t>DCF Bull</t>
  </si>
  <si>
    <t>52W H/L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</si>
</sst>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64" formatCode="_ * #,##0_ ;_ * \-#,##0_ ;_ * &quot;-&quot;??_ ;_ @_ "/>
    <numFmt numFmtId="165" formatCode="General\ &quot; Actual &quot;"/>
    <numFmt numFmtId="166" formatCode="General\ &quot; Expected &quot;"/>
    <numFmt numFmtId="167" formatCode="0.0%"/>
    <numFmt numFmtId="168" formatCode="0.00000%"/>
    <numFmt numFmtId="169" formatCode="_ * #,##0.0000000000000000000000_ ;_ * \-#,##0.0000000000000000000000_ ;_ * &quot;-&quot;??_ ;_ @_ "/>
    <numFmt numFmtId="170" formatCode="0.00\x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sz val="11"/>
      <color rgb="FF22222F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F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22222F"/>
      <name val="Arial"/>
      <family val="2"/>
    </font>
    <font>
      <b/>
      <sz val="11"/>
      <color rgb="FF22222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17" fontId="0" fillId="0" borderId="0" xfId="0" applyNumberFormat="1"/>
    <xf numFmtId="4" fontId="0" fillId="0" borderId="0" xfId="0" applyNumberFormat="1"/>
    <xf numFmtId="0" fontId="5" fillId="2" borderId="0" xfId="0" applyFont="1" applyFill="1"/>
    <xf numFmtId="0" fontId="5" fillId="2" borderId="0" xfId="0" applyFont="1" applyFill="1" applyAlignment="1">
      <alignment horizontal="left" indent="1"/>
    </xf>
    <xf numFmtId="0" fontId="4" fillId="3" borderId="0" xfId="0" applyFont="1" applyFill="1"/>
    <xf numFmtId="0" fontId="0" fillId="4" borderId="0" xfId="0" applyFill="1"/>
    <xf numFmtId="0" fontId="7" fillId="5" borderId="0" xfId="0" applyFont="1" applyFill="1" applyAlignment="1">
      <alignment horizontal="left" indent="1"/>
    </xf>
    <xf numFmtId="0" fontId="8" fillId="5" borderId="0" xfId="3" applyFill="1" applyAlignment="1" applyProtection="1">
      <alignment horizontal="left"/>
    </xf>
    <xf numFmtId="0" fontId="7" fillId="5" borderId="0" xfId="0" applyFont="1" applyFill="1" applyAlignment="1">
      <alignment horizontal="right" wrapText="1"/>
    </xf>
    <xf numFmtId="0" fontId="7" fillId="4" borderId="0" xfId="0" applyFont="1" applyFill="1" applyAlignment="1">
      <alignment horizontal="left" indent="1"/>
    </xf>
    <xf numFmtId="0" fontId="8" fillId="4" borderId="0" xfId="3" applyFill="1" applyAlignment="1" applyProtection="1">
      <alignment horizontal="left"/>
    </xf>
    <xf numFmtId="0" fontId="7" fillId="4" borderId="0" xfId="0" applyFont="1" applyFill="1" applyAlignment="1">
      <alignment horizontal="right" wrapText="1"/>
    </xf>
    <xf numFmtId="3" fontId="0" fillId="0" borderId="0" xfId="0" applyNumberFormat="1"/>
    <xf numFmtId="3" fontId="10" fillId="0" borderId="0" xfId="0" applyNumberFormat="1" applyFont="1"/>
    <xf numFmtId="9" fontId="0" fillId="0" borderId="0" xfId="0" applyNumberFormat="1"/>
    <xf numFmtId="0" fontId="7" fillId="0" borderId="0" xfId="0" applyFont="1" applyFill="1" applyAlignment="1">
      <alignment horizontal="right" wrapText="1"/>
    </xf>
    <xf numFmtId="0" fontId="9" fillId="0" borderId="0" xfId="3" applyFont="1" applyFill="1" applyAlignment="1" applyProtection="1">
      <alignment horizontal="left"/>
    </xf>
    <xf numFmtId="2" fontId="0" fillId="0" borderId="0" xfId="0" applyNumberFormat="1"/>
    <xf numFmtId="1" fontId="0" fillId="0" borderId="0" xfId="0" applyNumberFormat="1"/>
    <xf numFmtId="43" fontId="0" fillId="0" borderId="0" xfId="1" applyFont="1"/>
    <xf numFmtId="164" fontId="0" fillId="0" borderId="0" xfId="1" applyNumberFormat="1" applyFont="1"/>
    <xf numFmtId="1" fontId="0" fillId="0" borderId="0" xfId="1" applyNumberFormat="1" applyFont="1"/>
    <xf numFmtId="0" fontId="11" fillId="0" borderId="1" xfId="0" applyFont="1" applyBorder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9" fontId="0" fillId="0" borderId="2" xfId="0" applyNumberFormat="1" applyBorder="1"/>
    <xf numFmtId="10" fontId="4" fillId="3" borderId="2" xfId="0" applyNumberFormat="1" applyFont="1" applyFill="1" applyBorder="1"/>
    <xf numFmtId="0" fontId="3" fillId="0" borderId="2" xfId="0" applyFont="1" applyBorder="1" applyAlignment="1">
      <alignment horizontal="right"/>
    </xf>
    <xf numFmtId="43" fontId="0" fillId="0" borderId="2" xfId="1" applyFont="1" applyBorder="1"/>
    <xf numFmtId="9" fontId="0" fillId="0" borderId="2" xfId="2" applyFont="1" applyBorder="1"/>
    <xf numFmtId="0" fontId="0" fillId="0" borderId="2" xfId="0" applyBorder="1" applyAlignment="1">
      <alignment horizontal="right"/>
    </xf>
    <xf numFmtId="0" fontId="3" fillId="0" borderId="0" xfId="0" applyFont="1"/>
    <xf numFmtId="0" fontId="13" fillId="0" borderId="0" xfId="3" applyFont="1" applyFill="1" applyAlignment="1" applyProtection="1">
      <alignment horizontal="left"/>
    </xf>
    <xf numFmtId="0" fontId="14" fillId="0" borderId="0" xfId="0" applyFont="1" applyFill="1" applyAlignment="1">
      <alignment horizontal="right" wrapText="1"/>
    </xf>
    <xf numFmtId="3" fontId="15" fillId="0" borderId="0" xfId="0" applyNumberFormat="1" applyFont="1"/>
    <xf numFmtId="9" fontId="3" fillId="0" borderId="0" xfId="0" applyNumberFormat="1" applyFont="1"/>
    <xf numFmtId="2" fontId="3" fillId="0" borderId="0" xfId="0" applyNumberFormat="1" applyFont="1"/>
    <xf numFmtId="0" fontId="4" fillId="3" borderId="3" xfId="0" applyFont="1" applyFill="1" applyBorder="1"/>
    <xf numFmtId="0" fontId="0" fillId="0" borderId="3" xfId="0" applyFont="1" applyBorder="1"/>
    <xf numFmtId="0" fontId="0" fillId="0" borderId="3" xfId="0" applyBorder="1"/>
    <xf numFmtId="0" fontId="2" fillId="3" borderId="3" xfId="0" applyFont="1" applyFill="1" applyBorder="1"/>
    <xf numFmtId="165" fontId="0" fillId="0" borderId="0" xfId="0" applyNumberFormat="1"/>
    <xf numFmtId="166" fontId="0" fillId="0" borderId="0" xfId="0" applyNumberFormat="1"/>
    <xf numFmtId="10" fontId="0" fillId="0" borderId="3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0" fontId="0" fillId="0" borderId="0" xfId="0" applyNumberFormat="1"/>
    <xf numFmtId="167" fontId="0" fillId="0" borderId="0" xfId="0" applyNumberFormat="1"/>
    <xf numFmtId="0" fontId="3" fillId="2" borderId="3" xfId="0" applyFont="1" applyFill="1" applyBorder="1"/>
    <xf numFmtId="0" fontId="3" fillId="0" borderId="3" xfId="0" applyFont="1" applyBorder="1"/>
    <xf numFmtId="169" fontId="0" fillId="0" borderId="0" xfId="0" applyNumberFormat="1"/>
    <xf numFmtId="170" fontId="0" fillId="0" borderId="0" xfId="2" applyNumberFormat="1" applyFont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right" wrapText="1"/>
    </xf>
    <xf numFmtId="0" fontId="9" fillId="4" borderId="0" xfId="3" applyFont="1" applyFill="1" applyAlignment="1" applyProtection="1">
      <alignment horizontal="left" vertical="center" indent="1"/>
    </xf>
    <xf numFmtId="0" fontId="9" fillId="4" borderId="0" xfId="3" applyFont="1" applyFill="1" applyAlignment="1" applyProtection="1">
      <alignment horizontal="left" vertical="center"/>
    </xf>
    <xf numFmtId="0" fontId="9" fillId="4" borderId="0" xfId="3" applyFont="1" applyFill="1" applyAlignment="1" applyProtection="1">
      <alignment horizontal="right" vertical="center" wrapText="1"/>
    </xf>
    <xf numFmtId="0" fontId="1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2" fillId="6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/>
    <xf numFmtId="0" fontId="2" fillId="6" borderId="2" xfId="0" applyFont="1" applyFill="1" applyBorder="1" applyAlignment="1">
      <alignment horizontal="right" wrapText="1"/>
    </xf>
    <xf numFmtId="170" fontId="0" fillId="0" borderId="2" xfId="0" applyNumberFormat="1" applyBorder="1"/>
    <xf numFmtId="170" fontId="0" fillId="0" borderId="0" xfId="0" applyNumberFormat="1"/>
    <xf numFmtId="0" fontId="18" fillId="0" borderId="0" xfId="0" applyFont="1"/>
    <xf numFmtId="0" fontId="17" fillId="0" borderId="0" xfId="0" applyFont="1"/>
    <xf numFmtId="0" fontId="19" fillId="0" borderId="5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20" fillId="8" borderId="0" xfId="0" applyFont="1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 wrapText="1"/>
    </xf>
    <xf numFmtId="0" fontId="4" fillId="2" borderId="3" xfId="0" applyFont="1" applyFill="1" applyBorder="1"/>
    <xf numFmtId="9" fontId="0" fillId="0" borderId="3" xfId="0" applyNumberFormat="1" applyBorder="1"/>
    <xf numFmtId="0" fontId="0" fillId="9" borderId="3" xfId="0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284951881014874"/>
          <c:y val="7.7415960024227737E-2"/>
          <c:w val="0.69745734908136481"/>
          <c:h val="0.790464491217444"/>
        </c:manualLayout>
      </c:layout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val>
            <c:numRef>
              <c:f>Sheet10!$Q$16:$Q$20</c:f>
              <c:numCache>
                <c:formatCode>General</c:formatCode>
                <c:ptCount val="5"/>
                <c:pt idx="0">
                  <c:v>13414.000260983072</c:v>
                </c:pt>
                <c:pt idx="1">
                  <c:v>12889.104598596778</c:v>
                </c:pt>
                <c:pt idx="2">
                  <c:v>13293.695325906991</c:v>
                </c:pt>
                <c:pt idx="3">
                  <c:v>13234.348471773477</c:v>
                </c:pt>
                <c:pt idx="4">
                  <c:v>6.37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val>
            <c:numRef>
              <c:f>Sheet10!$R$16:$R$20</c:f>
              <c:numCache>
                <c:formatCode>General</c:formatCode>
                <c:ptCount val="5"/>
                <c:pt idx="0">
                  <c:v>13293.695325906991</c:v>
                </c:pt>
                <c:pt idx="1">
                  <c:v>12889.104598596778</c:v>
                </c:pt>
                <c:pt idx="2">
                  <c:v>13293.695325906991</c:v>
                </c:pt>
                <c:pt idx="3">
                  <c:v>13234.348471773477</c:v>
                </c:pt>
                <c:pt idx="4">
                  <c:v>6.37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val>
            <c:numRef>
              <c:f>Sheet10!$S$16:$S$20</c:f>
              <c:numCache>
                <c:formatCode>General</c:formatCode>
                <c:ptCount val="5"/>
                <c:pt idx="0">
                  <c:v>13661.262938604879</c:v>
                </c:pt>
                <c:pt idx="1">
                  <c:v>13353.576836384051</c:v>
                </c:pt>
                <c:pt idx="2">
                  <c:v>13661.262938604879</c:v>
                </c:pt>
                <c:pt idx="3">
                  <c:v>13724.509526283608</c:v>
                </c:pt>
                <c:pt idx="4">
                  <c:v>0.84</c:v>
                </c:pt>
              </c:numCache>
            </c:numRef>
          </c:val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val>
            <c:numRef>
              <c:f>Sheet10!$T$16:$T$20</c:f>
              <c:numCache>
                <c:formatCode>General</c:formatCode>
                <c:ptCount val="5"/>
                <c:pt idx="0">
                  <c:v>13536.502546471502</c:v>
                </c:pt>
                <c:pt idx="1">
                  <c:v>13353.576836384051</c:v>
                </c:pt>
                <c:pt idx="2">
                  <c:v>13661.262938604879</c:v>
                </c:pt>
                <c:pt idx="3">
                  <c:v>13724.509526283608</c:v>
                </c:pt>
                <c:pt idx="4">
                  <c:v>0.84</c:v>
                </c:pt>
              </c:numCache>
            </c:numRef>
          </c:val>
        </c:ser>
        <c:hiLowLines/>
        <c:upDownBars>
          <c:gapWidth val="150"/>
          <c:upBars/>
          <c:downBars/>
        </c:upDownBars>
        <c:axId val="111665536"/>
        <c:axId val="111667072"/>
      </c:stockChart>
      <c:catAx>
        <c:axId val="111665536"/>
        <c:scaling>
          <c:orientation val="minMax"/>
        </c:scaling>
        <c:axPos val="b"/>
        <c:tickLblPos val="nextTo"/>
        <c:crossAx val="111667072"/>
        <c:crosses val="autoZero"/>
        <c:auto val="1"/>
        <c:lblAlgn val="ctr"/>
        <c:lblOffset val="100"/>
      </c:catAx>
      <c:valAx>
        <c:axId val="111667072"/>
        <c:scaling>
          <c:orientation val="minMax"/>
        </c:scaling>
        <c:axPos val="l"/>
        <c:majorGridlines/>
        <c:numFmt formatCode="General" sourceLinked="1"/>
        <c:tickLblPos val="nextTo"/>
        <c:crossAx val="111665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0</xdr:rowOff>
    </xdr:from>
    <xdr:to>
      <xdr:col>1</xdr:col>
      <xdr:colOff>2094118</xdr:colOff>
      <xdr:row>9</xdr:row>
      <xdr:rowOff>171450</xdr:rowOff>
    </xdr:to>
    <xdr:pic>
      <xdr:nvPicPr>
        <xdr:cNvPr id="1025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599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2094119</xdr:colOff>
      <xdr:row>8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2094119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265319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398669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2094119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468519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0</xdr:rowOff>
    </xdr:from>
    <xdr:to>
      <xdr:col>1</xdr:col>
      <xdr:colOff>2075069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184150"/>
          <a:ext cx="2094119" cy="16446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265319</xdr:colOff>
      <xdr:row>9</xdr:row>
      <xdr:rowOff>171450</xdr:rowOff>
    </xdr:to>
    <xdr:pic>
      <xdr:nvPicPr>
        <xdr:cNvPr id="2" name="Picture 1" descr="ITC India Business Fast-moving Consumer Goods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4150"/>
          <a:ext cx="2094119" cy="16446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431800</xdr:colOff>
      <xdr:row>12</xdr:row>
      <xdr:rowOff>177800</xdr:rowOff>
    </xdr:from>
    <xdr:to>
      <xdr:col>10</xdr:col>
      <xdr:colOff>127000</xdr:colOff>
      <xdr:row>26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NESTLEIND/" TargetMode="External"/><Relationship Id="rId2" Type="http://schemas.openxmlformats.org/officeDocument/2006/relationships/hyperlink" Target="https://www.screener.in/company/ITC/consolidated/" TargetMode="External"/><Relationship Id="rId1" Type="http://schemas.openxmlformats.org/officeDocument/2006/relationships/hyperlink" Target="https://www.screener.in/company/HINDUNILVR/consolidated/" TargetMode="External"/><Relationship Id="rId6" Type="http://schemas.openxmlformats.org/officeDocument/2006/relationships/drawing" Target="../drawings/drawing5.xml"/><Relationship Id="rId5" Type="http://schemas.openxmlformats.org/officeDocument/2006/relationships/hyperlink" Target="https://www.screener.in/company/BRITANNIA/consolidated/" TargetMode="External"/><Relationship Id="rId4" Type="http://schemas.openxmlformats.org/officeDocument/2006/relationships/hyperlink" Target="https://www.screener.in/company/VBL/consolidate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DABUR/consolidated/" TargetMode="External"/><Relationship Id="rId13" Type="http://schemas.openxmlformats.org/officeDocument/2006/relationships/hyperlink" Target="https://www.screener.in/company/GODFRYPHLP/consolidated/" TargetMode="External"/><Relationship Id="rId18" Type="http://schemas.openxmlformats.org/officeDocument/2006/relationships/hyperlink" Target="https://www.screener.in/market/IN04/IN0401/?sort=number+of+equity+shares&amp;order=desc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screener.in/company/VBL/consolidated/" TargetMode="External"/><Relationship Id="rId21" Type="http://schemas.openxmlformats.org/officeDocument/2006/relationships/hyperlink" Target="https://www.screener.in/market/IN04/IN0401/?sort=enterprise+value&amp;order=desc" TargetMode="External"/><Relationship Id="rId7" Type="http://schemas.openxmlformats.org/officeDocument/2006/relationships/hyperlink" Target="https://www.screener.in/company/UNITDSPR/consolidated/" TargetMode="External"/><Relationship Id="rId12" Type="http://schemas.openxmlformats.org/officeDocument/2006/relationships/hyperlink" Target="https://www.screener.in/company/UBL/consolidated/" TargetMode="External"/><Relationship Id="rId17" Type="http://schemas.openxmlformats.org/officeDocument/2006/relationships/hyperlink" Target="https://www.screener.in/market/IN04/IN0401/?sort=current+price&amp;order=desc" TargetMode="External"/><Relationship Id="rId25" Type="http://schemas.openxmlformats.org/officeDocument/2006/relationships/hyperlink" Target="https://www.screener.in/market/IN04/IN0401/?sort=market+capitalization&amp;order=desc" TargetMode="External"/><Relationship Id="rId2" Type="http://schemas.openxmlformats.org/officeDocument/2006/relationships/hyperlink" Target="https://www.screener.in/company/NESTLEIND/" TargetMode="External"/><Relationship Id="rId16" Type="http://schemas.openxmlformats.org/officeDocument/2006/relationships/hyperlink" Target="https://www.screener.in/market/IN04/IN0401/?sort=name&amp;order=desc" TargetMode="External"/><Relationship Id="rId20" Type="http://schemas.openxmlformats.org/officeDocument/2006/relationships/hyperlink" Target="https://www.screener.in/market/IN04/IN0401/?sort=cash+end+of+last+year&amp;order=desc" TargetMode="External"/><Relationship Id="rId1" Type="http://schemas.openxmlformats.org/officeDocument/2006/relationships/hyperlink" Target="https://www.screener.in/company/ITC/consolidated/" TargetMode="External"/><Relationship Id="rId6" Type="http://schemas.openxmlformats.org/officeDocument/2006/relationships/hyperlink" Target="https://www.screener.in/company/TATACONSUM/consolidated/" TargetMode="External"/><Relationship Id="rId11" Type="http://schemas.openxmlformats.org/officeDocument/2006/relationships/hyperlink" Target="https://www.screener.in/company/COLPAL/" TargetMode="External"/><Relationship Id="rId24" Type="http://schemas.openxmlformats.org/officeDocument/2006/relationships/hyperlink" Target="https://www.screener.in/market/IN04/IN0401/?sort=net+profit&amp;order=desc" TargetMode="External"/><Relationship Id="rId5" Type="http://schemas.openxmlformats.org/officeDocument/2006/relationships/hyperlink" Target="https://www.screener.in/company/GODREJCP/consolidated/" TargetMode="External"/><Relationship Id="rId15" Type="http://schemas.openxmlformats.org/officeDocument/2006/relationships/hyperlink" Target="https://www.screener.in/market/IN04/IN0401/?order=asc" TargetMode="External"/><Relationship Id="rId23" Type="http://schemas.openxmlformats.org/officeDocument/2006/relationships/hyperlink" Target="https://www.screener.in/market/IN04/IN0401/?sort=evebitda&amp;order=desc" TargetMode="External"/><Relationship Id="rId10" Type="http://schemas.openxmlformats.org/officeDocument/2006/relationships/hyperlink" Target="https://www.screener.in/company/PATANJALI/" TargetMode="External"/><Relationship Id="rId19" Type="http://schemas.openxmlformats.org/officeDocument/2006/relationships/hyperlink" Target="https://www.screener.in/market/IN04/IN0401/?sort=debt&amp;order=desc" TargetMode="External"/><Relationship Id="rId4" Type="http://schemas.openxmlformats.org/officeDocument/2006/relationships/hyperlink" Target="https://www.screener.in/company/BRITANNIA/consolidated/" TargetMode="External"/><Relationship Id="rId9" Type="http://schemas.openxmlformats.org/officeDocument/2006/relationships/hyperlink" Target="https://www.screener.in/company/MARICO/consolidated/" TargetMode="External"/><Relationship Id="rId14" Type="http://schemas.openxmlformats.org/officeDocument/2006/relationships/hyperlink" Target="https://www.screener.in/company/PGHH/" TargetMode="External"/><Relationship Id="rId22" Type="http://schemas.openxmlformats.org/officeDocument/2006/relationships/hyperlink" Target="https://www.screener.in/market/IN04/IN0401/?sort=sales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2:N86"/>
  <sheetViews>
    <sheetView topLeftCell="A58" workbookViewId="0">
      <selection activeCell="B58" sqref="B58"/>
    </sheetView>
  </sheetViews>
  <sheetFormatPr defaultRowHeight="14.5"/>
  <cols>
    <col min="2" max="2" width="59.36328125" customWidth="1"/>
  </cols>
  <sheetData>
    <row r="12" spans="2:7">
      <c r="B12" t="s">
        <v>0</v>
      </c>
      <c r="C12" s="1">
        <v>44256</v>
      </c>
      <c r="D12" s="1">
        <v>44621</v>
      </c>
      <c r="E12" s="1">
        <v>44986</v>
      </c>
      <c r="F12" s="1">
        <v>45352</v>
      </c>
      <c r="G12" s="1">
        <v>45717</v>
      </c>
    </row>
    <row r="13" spans="2:7"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2:7">
      <c r="B14" t="s">
        <v>3</v>
      </c>
    </row>
    <row r="15" spans="2:7">
      <c r="B15" t="s">
        <v>4</v>
      </c>
      <c r="C15" s="2">
        <v>48151.26</v>
      </c>
      <c r="D15" s="2">
        <v>59101.09</v>
      </c>
      <c r="E15" s="2">
        <v>69480.89</v>
      </c>
      <c r="F15" s="2">
        <v>69446.2</v>
      </c>
      <c r="G15" s="2">
        <v>73464.55</v>
      </c>
    </row>
    <row r="16" spans="2:7">
      <c r="B16" t="s">
        <v>5</v>
      </c>
      <c r="C16" s="2">
        <v>3039.43</v>
      </c>
      <c r="D16" s="2">
        <v>3404.29</v>
      </c>
      <c r="E16" s="2">
        <v>4208.01</v>
      </c>
      <c r="F16" s="2">
        <v>4664.4799999999996</v>
      </c>
      <c r="G16" s="2">
        <v>4912.55</v>
      </c>
    </row>
    <row r="17" spans="2:7">
      <c r="B17" t="s">
        <v>6</v>
      </c>
      <c r="C17" s="2">
        <v>45111.83</v>
      </c>
      <c r="D17" s="2">
        <v>55696.800000000003</v>
      </c>
      <c r="E17" s="2">
        <v>65272.88</v>
      </c>
      <c r="F17" s="2">
        <v>64781.72</v>
      </c>
      <c r="G17" s="2">
        <v>68552</v>
      </c>
    </row>
    <row r="18" spans="2:7">
      <c r="B18" t="s">
        <v>7</v>
      </c>
      <c r="C18" s="2">
        <v>45485.13</v>
      </c>
      <c r="D18" s="2">
        <v>56341.27</v>
      </c>
      <c r="E18" s="2">
        <v>66043.27</v>
      </c>
      <c r="F18" s="2">
        <v>65440.81</v>
      </c>
      <c r="G18" s="2">
        <v>69323.520000000004</v>
      </c>
    </row>
    <row r="19" spans="2:7">
      <c r="B19" t="s">
        <v>8</v>
      </c>
      <c r="C19" s="2">
        <v>3250.99</v>
      </c>
      <c r="D19" s="2">
        <v>2589.9699999999998</v>
      </c>
      <c r="E19" s="2">
        <v>2437.61</v>
      </c>
      <c r="F19" s="2">
        <v>3538.28</v>
      </c>
      <c r="G19" s="2">
        <v>3454.31</v>
      </c>
    </row>
    <row r="20" spans="2:7">
      <c r="B20" t="s">
        <v>9</v>
      </c>
      <c r="C20" s="2">
        <v>48736.12</v>
      </c>
      <c r="D20" s="2">
        <v>58931.24</v>
      </c>
      <c r="E20" s="2">
        <v>68480.88</v>
      </c>
      <c r="F20" s="2">
        <v>68979.09</v>
      </c>
      <c r="G20" s="2">
        <v>72777.83</v>
      </c>
    </row>
    <row r="21" spans="2:7">
      <c r="B21" t="s">
        <v>10</v>
      </c>
    </row>
    <row r="22" spans="2:7">
      <c r="B22" t="s">
        <v>11</v>
      </c>
      <c r="C22" s="2">
        <v>13605.07</v>
      </c>
      <c r="D22" s="2">
        <v>16064.5</v>
      </c>
      <c r="E22" s="2">
        <v>19809.830000000002</v>
      </c>
      <c r="F22" s="2">
        <v>21309.84</v>
      </c>
      <c r="G22" s="2">
        <v>23440.12</v>
      </c>
    </row>
    <row r="23" spans="2:7">
      <c r="B23" t="s">
        <v>12</v>
      </c>
      <c r="C23" s="2">
        <v>6896.4</v>
      </c>
      <c r="D23" s="2">
        <v>10734.48</v>
      </c>
      <c r="E23" s="2">
        <v>9109.85</v>
      </c>
      <c r="F23" s="2">
        <v>6042.97</v>
      </c>
      <c r="G23" s="2">
        <v>8936.2199999999993</v>
      </c>
    </row>
    <row r="24" spans="2:7"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 t="s">
        <v>14</v>
      </c>
      <c r="C25">
        <v>-526.86</v>
      </c>
      <c r="D25">
        <v>-566.46</v>
      </c>
      <c r="E25">
        <v>-39.5</v>
      </c>
      <c r="F25">
        <v>-370.71</v>
      </c>
      <c r="G25">
        <v>-640.5</v>
      </c>
    </row>
    <row r="26" spans="2:7">
      <c r="B26" t="s">
        <v>15</v>
      </c>
      <c r="C26" s="2">
        <v>2820.95</v>
      </c>
      <c r="D26" s="2">
        <v>3061.99</v>
      </c>
      <c r="E26" s="2">
        <v>3569.46</v>
      </c>
      <c r="F26" s="2">
        <v>3732.23</v>
      </c>
      <c r="G26" s="2">
        <v>3416.73</v>
      </c>
    </row>
    <row r="27" spans="2:7">
      <c r="B27" t="s">
        <v>16</v>
      </c>
      <c r="C27">
        <v>47.47</v>
      </c>
      <c r="D27">
        <v>41.95</v>
      </c>
      <c r="E27">
        <v>41.81</v>
      </c>
      <c r="F27">
        <v>45.73</v>
      </c>
      <c r="G27">
        <v>36.35</v>
      </c>
    </row>
    <row r="28" spans="2:7">
      <c r="B28" t="s">
        <v>17</v>
      </c>
      <c r="C28" s="2">
        <v>1561.83</v>
      </c>
      <c r="D28" s="2">
        <v>1652.15</v>
      </c>
      <c r="E28" s="2">
        <v>1662.73</v>
      </c>
      <c r="F28" s="2">
        <v>1647.82</v>
      </c>
      <c r="G28" s="2">
        <v>1441.93</v>
      </c>
    </row>
    <row r="29" spans="2:7">
      <c r="B29" t="s">
        <v>18</v>
      </c>
      <c r="C29" s="2">
        <v>7167.07</v>
      </c>
      <c r="D29" s="2">
        <v>8113.1</v>
      </c>
      <c r="E29" s="2">
        <v>9649.16</v>
      </c>
      <c r="F29" s="2">
        <v>10247.870000000001</v>
      </c>
      <c r="G29" s="2">
        <v>10146.120000000001</v>
      </c>
    </row>
    <row r="30" spans="2:7">
      <c r="B30" t="s">
        <v>19</v>
      </c>
      <c r="C30" s="2">
        <v>31571.93</v>
      </c>
      <c r="D30" s="2">
        <v>39101.71</v>
      </c>
      <c r="E30" s="2">
        <v>43803.34</v>
      </c>
      <c r="F30" s="2">
        <v>42655.75</v>
      </c>
      <c r="G30" s="2">
        <v>46776.97</v>
      </c>
    </row>
    <row r="31" spans="2:7">
      <c r="B31" t="s">
        <v>20</v>
      </c>
      <c r="C31" s="2">
        <v>17164.189999999999</v>
      </c>
      <c r="D31" s="2">
        <v>19829.53</v>
      </c>
      <c r="E31" s="2">
        <v>24677.54</v>
      </c>
      <c r="F31" s="2">
        <v>26323.34</v>
      </c>
      <c r="G31" s="2">
        <v>26000.86</v>
      </c>
    </row>
    <row r="32" spans="2:7">
      <c r="B32" t="s">
        <v>21</v>
      </c>
      <c r="C32">
        <v>0</v>
      </c>
      <c r="D32">
        <v>0</v>
      </c>
      <c r="E32">
        <v>72.87</v>
      </c>
      <c r="F32">
        <v>-7.57</v>
      </c>
      <c r="G32">
        <v>527.96</v>
      </c>
    </row>
    <row r="33" spans="2:7">
      <c r="B33" t="s">
        <v>22</v>
      </c>
      <c r="C33" s="2">
        <v>17164.189999999999</v>
      </c>
      <c r="D33" s="2">
        <v>19829.53</v>
      </c>
      <c r="E33" s="2">
        <v>24750.41</v>
      </c>
      <c r="F33" s="2">
        <v>26315.77</v>
      </c>
      <c r="G33" s="2">
        <v>26528.82</v>
      </c>
    </row>
    <row r="34" spans="2:7">
      <c r="B34" t="s">
        <v>23</v>
      </c>
    </row>
    <row r="35" spans="2:7">
      <c r="B35" t="s">
        <v>24</v>
      </c>
      <c r="D35" s="2">
        <v>4833.88</v>
      </c>
      <c r="E35" s="2">
        <v>6025.32</v>
      </c>
      <c r="F35" s="2">
        <v>5661.21</v>
      </c>
      <c r="G35" s="2">
        <v>5990.17</v>
      </c>
    </row>
    <row r="36" spans="2:7">
      <c r="B36" t="s">
        <v>25</v>
      </c>
      <c r="D36">
        <v>0</v>
      </c>
      <c r="E36">
        <v>0</v>
      </c>
      <c r="F36">
        <v>0</v>
      </c>
      <c r="G36">
        <v>0</v>
      </c>
    </row>
    <row r="37" spans="2:7">
      <c r="B37" t="s">
        <v>26</v>
      </c>
      <c r="D37">
        <v>-62.18</v>
      </c>
      <c r="E37">
        <v>-28.22</v>
      </c>
      <c r="F37">
        <v>232.59</v>
      </c>
      <c r="G37">
        <v>446.8</v>
      </c>
    </row>
    <row r="38" spans="2:7">
      <c r="B38" t="s">
        <v>27</v>
      </c>
      <c r="D38">
        <v>0</v>
      </c>
      <c r="E38">
        <v>0</v>
      </c>
      <c r="F38">
        <v>0</v>
      </c>
      <c r="G38">
        <v>0</v>
      </c>
    </row>
    <row r="39" spans="2:7">
      <c r="B39" t="s">
        <v>28</v>
      </c>
      <c r="D39" s="2">
        <v>4771.7</v>
      </c>
      <c r="E39" s="2">
        <v>5997.1</v>
      </c>
      <c r="F39" s="2">
        <v>5893.8</v>
      </c>
      <c r="G39" s="2">
        <v>6436.97</v>
      </c>
    </row>
    <row r="40" spans="2:7">
      <c r="B40" t="s">
        <v>29</v>
      </c>
      <c r="D40" s="2">
        <v>15057.83</v>
      </c>
      <c r="E40" s="2">
        <v>18753.310000000001</v>
      </c>
      <c r="F40" s="2">
        <v>20421.97</v>
      </c>
      <c r="G40" s="2">
        <v>20091.849999999999</v>
      </c>
    </row>
    <row r="41" spans="2:7">
      <c r="B41" t="s">
        <v>30</v>
      </c>
      <c r="D41" s="2">
        <v>15057.83</v>
      </c>
      <c r="E41" s="2">
        <v>18753.310000000001</v>
      </c>
      <c r="F41" s="2">
        <v>20421.97</v>
      </c>
      <c r="G41" s="2">
        <v>20091.849999999999</v>
      </c>
    </row>
    <row r="42" spans="2:7">
      <c r="B42" t="s">
        <v>31</v>
      </c>
      <c r="D42" s="2">
        <v>15057.83</v>
      </c>
      <c r="E42" s="2">
        <v>18753.310000000001</v>
      </c>
      <c r="F42" s="2">
        <v>20421.97</v>
      </c>
      <c r="G42" s="2">
        <v>35195.61</v>
      </c>
    </row>
    <row r="43" spans="2:7">
      <c r="B43" t="s">
        <v>32</v>
      </c>
    </row>
    <row r="44" spans="2:7">
      <c r="B44" t="s">
        <v>33</v>
      </c>
    </row>
    <row r="45" spans="2:7">
      <c r="B45" t="s">
        <v>34</v>
      </c>
      <c r="D45">
        <v>12.22</v>
      </c>
      <c r="E45">
        <v>15.15</v>
      </c>
      <c r="F45">
        <v>16.39</v>
      </c>
      <c r="G45">
        <v>28.15</v>
      </c>
    </row>
    <row r="46" spans="2:7">
      <c r="B46" t="s">
        <v>35</v>
      </c>
      <c r="D46">
        <v>12.22</v>
      </c>
      <c r="E46">
        <v>15.11</v>
      </c>
      <c r="F46">
        <v>16.350000000000001</v>
      </c>
      <c r="G46">
        <v>28.11</v>
      </c>
    </row>
    <row r="47" spans="2:7">
      <c r="B47" t="s">
        <v>36</v>
      </c>
    </row>
    <row r="48" spans="2:7">
      <c r="B48" t="s">
        <v>37</v>
      </c>
      <c r="D48">
        <v>0</v>
      </c>
      <c r="E48">
        <v>0</v>
      </c>
      <c r="F48">
        <v>0</v>
      </c>
      <c r="G48">
        <v>0</v>
      </c>
    </row>
    <row r="49" spans="2:14">
      <c r="B49" t="s">
        <v>38</v>
      </c>
      <c r="D49">
        <v>0</v>
      </c>
      <c r="E49">
        <v>0</v>
      </c>
      <c r="F49">
        <v>0</v>
      </c>
      <c r="G49">
        <v>0</v>
      </c>
    </row>
    <row r="50" spans="2:14">
      <c r="B50" t="s">
        <v>39</v>
      </c>
    </row>
    <row r="51" spans="2:14">
      <c r="B51" t="s">
        <v>40</v>
      </c>
      <c r="D51">
        <v>0</v>
      </c>
      <c r="E51">
        <v>0</v>
      </c>
      <c r="F51">
        <v>0</v>
      </c>
      <c r="G51">
        <v>0</v>
      </c>
    </row>
    <row r="52" spans="2:14">
      <c r="B52" t="s">
        <v>41</v>
      </c>
      <c r="D52">
        <v>0</v>
      </c>
      <c r="E52">
        <v>0</v>
      </c>
      <c r="F52">
        <v>0</v>
      </c>
      <c r="G52">
        <v>0</v>
      </c>
    </row>
    <row r="53" spans="2:14">
      <c r="B53" t="s">
        <v>42</v>
      </c>
    </row>
    <row r="54" spans="2:14">
      <c r="B54" t="s">
        <v>43</v>
      </c>
      <c r="D54" s="2">
        <v>6469.48</v>
      </c>
      <c r="E54" s="2">
        <v>7448.41</v>
      </c>
      <c r="F54" s="2">
        <v>7799.45</v>
      </c>
      <c r="G54" s="2">
        <v>8133.11</v>
      </c>
    </row>
    <row r="55" spans="2:14">
      <c r="B55" t="s">
        <v>44</v>
      </c>
      <c r="D55">
        <v>0</v>
      </c>
      <c r="E55">
        <v>0</v>
      </c>
      <c r="F55">
        <v>0</v>
      </c>
      <c r="G55">
        <v>-19.45</v>
      </c>
    </row>
    <row r="56" spans="2:14">
      <c r="B56" t="s">
        <v>45</v>
      </c>
      <c r="D56" s="2">
        <v>1150</v>
      </c>
      <c r="E56" s="2">
        <v>1550</v>
      </c>
      <c r="F56" s="2">
        <v>1375</v>
      </c>
      <c r="G56" s="2">
        <v>1435</v>
      </c>
    </row>
    <row r="60" spans="2:14">
      <c r="C60" s="1">
        <v>41699</v>
      </c>
      <c r="D60" s="1">
        <v>42064</v>
      </c>
      <c r="E60" s="1">
        <v>42430</v>
      </c>
      <c r="F60" s="1">
        <v>42795</v>
      </c>
      <c r="G60" s="1">
        <v>43160</v>
      </c>
      <c r="H60" s="1">
        <v>43525</v>
      </c>
      <c r="I60" s="1">
        <v>43891</v>
      </c>
      <c r="J60" s="1">
        <v>44256</v>
      </c>
      <c r="K60" s="1">
        <v>44621</v>
      </c>
      <c r="L60" s="1">
        <v>44986</v>
      </c>
      <c r="M60" s="1">
        <v>45352</v>
      </c>
      <c r="N60" s="1">
        <v>45717</v>
      </c>
    </row>
    <row r="61" spans="2:14">
      <c r="B61" t="s">
        <v>230</v>
      </c>
      <c r="C61" s="13">
        <v>7344</v>
      </c>
      <c r="D61" s="13">
        <v>9843</v>
      </c>
      <c r="E61" s="13">
        <v>9799</v>
      </c>
      <c r="F61" s="13">
        <v>10627</v>
      </c>
      <c r="G61" s="13">
        <v>13169</v>
      </c>
      <c r="H61" s="13">
        <v>12583</v>
      </c>
      <c r="I61" s="13">
        <v>14690</v>
      </c>
      <c r="J61" s="13">
        <v>12527</v>
      </c>
      <c r="K61" s="13">
        <v>15776</v>
      </c>
      <c r="L61" s="13">
        <v>18878</v>
      </c>
      <c r="M61" s="13">
        <v>17179</v>
      </c>
      <c r="N61" s="13">
        <v>17627</v>
      </c>
    </row>
    <row r="62" spans="2:14">
      <c r="B62" t="s">
        <v>207</v>
      </c>
      <c r="C62" s="13">
        <v>13172</v>
      </c>
      <c r="D62" s="13">
        <v>14261</v>
      </c>
      <c r="E62" s="13">
        <v>15154</v>
      </c>
      <c r="F62" s="13">
        <v>16075</v>
      </c>
      <c r="G62" s="13">
        <v>17433</v>
      </c>
      <c r="H62" s="13">
        <v>18862</v>
      </c>
      <c r="I62" s="13">
        <v>19416</v>
      </c>
      <c r="J62" s="13">
        <v>17326</v>
      </c>
      <c r="K62" s="13">
        <v>20857</v>
      </c>
      <c r="L62" s="13">
        <v>26052</v>
      </c>
      <c r="M62" s="13">
        <v>26635</v>
      </c>
      <c r="N62" s="13">
        <v>26719</v>
      </c>
    </row>
    <row r="63" spans="2:14">
      <c r="B63" t="s">
        <v>208</v>
      </c>
      <c r="C63" s="13">
        <v>-1546</v>
      </c>
      <c r="D63">
        <v>558</v>
      </c>
      <c r="E63">
        <v>-207</v>
      </c>
      <c r="F63">
        <v>-870</v>
      </c>
      <c r="G63">
        <v>-964</v>
      </c>
      <c r="H63">
        <v>-755</v>
      </c>
      <c r="I63" s="13">
        <v>1411</v>
      </c>
      <c r="J63">
        <v>-66</v>
      </c>
      <c r="K63">
        <v>-732</v>
      </c>
      <c r="L63">
        <v>-884</v>
      </c>
      <c r="M63">
        <v>-934</v>
      </c>
      <c r="N63" s="13">
        <v>-1023</v>
      </c>
    </row>
    <row r="64" spans="2:14">
      <c r="B64" t="s">
        <v>209</v>
      </c>
      <c r="C64">
        <v>-755</v>
      </c>
      <c r="D64">
        <v>-505</v>
      </c>
      <c r="E64">
        <v>-693</v>
      </c>
      <c r="F64">
        <v>593</v>
      </c>
      <c r="G64">
        <v>602</v>
      </c>
      <c r="H64">
        <v>-359</v>
      </c>
      <c r="I64">
        <v>-508</v>
      </c>
      <c r="J64" s="13">
        <v>-1460</v>
      </c>
      <c r="K64">
        <v>-466</v>
      </c>
      <c r="L64" s="13">
        <v>-1098</v>
      </c>
      <c r="M64" s="13">
        <v>-2545</v>
      </c>
      <c r="N64" s="13">
        <v>-2975</v>
      </c>
    </row>
    <row r="65" spans="2:14">
      <c r="B65" t="s">
        <v>210</v>
      </c>
      <c r="C65">
        <v>456</v>
      </c>
      <c r="D65">
        <v>-23</v>
      </c>
      <c r="E65">
        <v>622</v>
      </c>
      <c r="F65">
        <v>321</v>
      </c>
      <c r="G65" s="13">
        <v>2098</v>
      </c>
      <c r="H65">
        <v>639</v>
      </c>
      <c r="I65">
        <v>-607</v>
      </c>
      <c r="J65" s="13">
        <v>1112</v>
      </c>
      <c r="K65" s="13">
        <v>1099</v>
      </c>
      <c r="L65" s="13">
        <v>1058</v>
      </c>
      <c r="M65">
        <v>141</v>
      </c>
      <c r="N65" s="13">
        <v>1256</v>
      </c>
    </row>
    <row r="66" spans="2:14">
      <c r="B66" t="s">
        <v>211</v>
      </c>
      <c r="C66" s="13">
        <v>-1844</v>
      </c>
      <c r="D66">
        <v>31</v>
      </c>
      <c r="E66">
        <v>-277</v>
      </c>
      <c r="F66">
        <v>44</v>
      </c>
      <c r="G66" s="13">
        <v>1736</v>
      </c>
      <c r="H66">
        <v>-476</v>
      </c>
      <c r="I66">
        <v>296</v>
      </c>
      <c r="J66">
        <v>-413</v>
      </c>
      <c r="K66">
        <v>-100</v>
      </c>
      <c r="L66">
        <v>-924</v>
      </c>
      <c r="M66" s="13">
        <v>-3337</v>
      </c>
      <c r="N66" s="13">
        <v>-2742</v>
      </c>
    </row>
    <row r="67" spans="2:14">
      <c r="B67" t="s">
        <v>212</v>
      </c>
      <c r="C67" s="13">
        <v>-3984</v>
      </c>
      <c r="D67" s="13">
        <v>-4449</v>
      </c>
      <c r="E67" s="13">
        <v>-5078</v>
      </c>
      <c r="F67" s="13">
        <v>-5492</v>
      </c>
      <c r="G67" s="13">
        <v>-6000</v>
      </c>
      <c r="H67" s="13">
        <v>-5803</v>
      </c>
      <c r="I67" s="13">
        <v>-5023</v>
      </c>
      <c r="J67" s="13">
        <v>-4387</v>
      </c>
      <c r="K67" s="13">
        <v>-4982</v>
      </c>
      <c r="L67" s="13">
        <v>-6250</v>
      </c>
      <c r="M67" s="13">
        <v>-6120</v>
      </c>
      <c r="N67" s="13">
        <v>-6350</v>
      </c>
    </row>
    <row r="68" spans="2:14">
      <c r="B68" t="s">
        <v>231</v>
      </c>
      <c r="C68" s="13">
        <v>-3254</v>
      </c>
      <c r="D68" s="13">
        <v>-5275</v>
      </c>
      <c r="E68" s="13">
        <v>-3921</v>
      </c>
      <c r="F68" s="13">
        <v>-3251</v>
      </c>
      <c r="G68" s="13">
        <v>-7114</v>
      </c>
      <c r="H68" s="13">
        <v>-5546</v>
      </c>
      <c r="I68" s="13">
        <v>-6174</v>
      </c>
      <c r="J68" s="13">
        <v>5740</v>
      </c>
      <c r="K68" s="13">
        <v>-2238</v>
      </c>
      <c r="L68" s="13">
        <v>-5732</v>
      </c>
      <c r="M68" s="13">
        <v>1563</v>
      </c>
      <c r="N68">
        <v>-564</v>
      </c>
    </row>
    <row r="69" spans="2:14">
      <c r="B69" t="s">
        <v>213</v>
      </c>
      <c r="C69" s="13">
        <v>-2887</v>
      </c>
      <c r="D69" s="13">
        <v>-3300</v>
      </c>
      <c r="E69" s="13">
        <v>-2348</v>
      </c>
      <c r="F69" s="13">
        <v>-3122</v>
      </c>
      <c r="G69" s="13">
        <v>-2878</v>
      </c>
      <c r="H69" s="13">
        <v>-3169</v>
      </c>
      <c r="I69" s="13">
        <v>-2441</v>
      </c>
      <c r="J69" s="13">
        <v>-1837</v>
      </c>
      <c r="K69" s="13">
        <v>-2142</v>
      </c>
      <c r="L69" s="13">
        <v>-2743</v>
      </c>
      <c r="M69" s="13">
        <v>-3563</v>
      </c>
      <c r="N69" s="13">
        <v>-2279</v>
      </c>
    </row>
    <row r="70" spans="2:14">
      <c r="B70" t="s">
        <v>214</v>
      </c>
      <c r="C70">
        <v>38</v>
      </c>
      <c r="D70">
        <v>9</v>
      </c>
      <c r="E70">
        <v>8</v>
      </c>
      <c r="F70">
        <v>50</v>
      </c>
      <c r="G70">
        <v>80</v>
      </c>
      <c r="H70">
        <v>28</v>
      </c>
      <c r="I70">
        <v>27</v>
      </c>
      <c r="J70">
        <v>3</v>
      </c>
      <c r="K70">
        <v>133</v>
      </c>
      <c r="L70">
        <v>49</v>
      </c>
      <c r="M70">
        <v>107</v>
      </c>
      <c r="N70">
        <v>175</v>
      </c>
    </row>
    <row r="71" spans="2:14">
      <c r="B71" t="s">
        <v>215</v>
      </c>
      <c r="C71" s="13">
        <v>-94242</v>
      </c>
      <c r="D71" s="13">
        <v>-98742</v>
      </c>
      <c r="E71" s="13">
        <v>-154081</v>
      </c>
      <c r="F71" s="13">
        <v>-85683</v>
      </c>
      <c r="G71" s="13">
        <v>-98330</v>
      </c>
      <c r="H71" s="13">
        <v>-94187</v>
      </c>
      <c r="I71" s="13">
        <v>-79835</v>
      </c>
      <c r="J71" s="13">
        <v>-57553</v>
      </c>
      <c r="K71" s="13">
        <v>-69776</v>
      </c>
      <c r="L71" s="13">
        <v>-80932</v>
      </c>
      <c r="M71" s="13">
        <v>-75107</v>
      </c>
      <c r="N71" s="13">
        <v>-66373</v>
      </c>
    </row>
    <row r="72" spans="2:14">
      <c r="B72" t="s">
        <v>216</v>
      </c>
      <c r="C72" s="13">
        <v>93293</v>
      </c>
      <c r="D72" s="13">
        <v>99658</v>
      </c>
      <c r="E72" s="13">
        <v>150651</v>
      </c>
      <c r="F72" s="13">
        <v>81034</v>
      </c>
      <c r="G72" s="13">
        <v>95017</v>
      </c>
      <c r="H72" s="13">
        <v>92454</v>
      </c>
      <c r="I72" s="13">
        <v>75835</v>
      </c>
      <c r="J72" s="13">
        <v>62797</v>
      </c>
      <c r="K72" s="13">
        <v>70992</v>
      </c>
      <c r="L72" s="13">
        <v>77230</v>
      </c>
      <c r="M72" s="13">
        <v>77830</v>
      </c>
      <c r="N72" s="13">
        <v>67311</v>
      </c>
    </row>
    <row r="73" spans="2:14">
      <c r="B73" t="s">
        <v>217</v>
      </c>
      <c r="C73">
        <v>374</v>
      </c>
      <c r="D73">
        <v>559</v>
      </c>
      <c r="E73">
        <v>741</v>
      </c>
      <c r="F73">
        <v>756</v>
      </c>
      <c r="G73">
        <v>736</v>
      </c>
      <c r="H73" s="13">
        <v>1184</v>
      </c>
      <c r="I73" s="13">
        <v>1513</v>
      </c>
      <c r="J73" s="13">
        <v>1275</v>
      </c>
      <c r="K73" s="13">
        <v>1035</v>
      </c>
      <c r="L73" s="13">
        <v>1324</v>
      </c>
      <c r="M73" s="13">
        <v>1138</v>
      </c>
      <c r="N73" s="13">
        <v>1072</v>
      </c>
    </row>
    <row r="74" spans="2:14">
      <c r="B74" t="s">
        <v>218</v>
      </c>
      <c r="C74">
        <v>192</v>
      </c>
      <c r="D74">
        <v>268</v>
      </c>
      <c r="E74">
        <v>64</v>
      </c>
      <c r="F74">
        <v>4</v>
      </c>
      <c r="G74">
        <v>13</v>
      </c>
      <c r="H74">
        <v>13</v>
      </c>
      <c r="I74">
        <v>17</v>
      </c>
      <c r="J74">
        <v>7</v>
      </c>
      <c r="K74">
        <v>16</v>
      </c>
      <c r="L74">
        <v>19</v>
      </c>
      <c r="M74">
        <v>36</v>
      </c>
      <c r="N74">
        <v>38</v>
      </c>
    </row>
    <row r="75" spans="2:14">
      <c r="B75" t="s">
        <v>219</v>
      </c>
      <c r="C75">
        <v>0</v>
      </c>
      <c r="D75">
        <v>0</v>
      </c>
      <c r="E75">
        <v>-8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2:14">
      <c r="B76" t="s">
        <v>220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-2</v>
      </c>
      <c r="K76">
        <v>-2</v>
      </c>
      <c r="L76">
        <v>-2</v>
      </c>
      <c r="M76">
        <v>-65</v>
      </c>
      <c r="N76">
        <v>-30</v>
      </c>
    </row>
    <row r="77" spans="2:14">
      <c r="B77" t="s">
        <v>221</v>
      </c>
      <c r="C77">
        <v>0</v>
      </c>
      <c r="D77">
        <v>0</v>
      </c>
      <c r="E77">
        <v>0</v>
      </c>
      <c r="F77">
        <v>129</v>
      </c>
      <c r="G77">
        <v>18</v>
      </c>
      <c r="H77">
        <v>18</v>
      </c>
      <c r="I77">
        <v>0</v>
      </c>
      <c r="J77">
        <v>0</v>
      </c>
      <c r="K77">
        <v>0</v>
      </c>
      <c r="L77">
        <v>56</v>
      </c>
      <c r="M77">
        <v>0</v>
      </c>
      <c r="N77">
        <v>0</v>
      </c>
    </row>
    <row r="78" spans="2:14">
      <c r="B78" t="s">
        <v>222</v>
      </c>
      <c r="C78">
        <v>-21</v>
      </c>
      <c r="D78" s="13">
        <v>-3728</v>
      </c>
      <c r="E78" s="13">
        <v>1052</v>
      </c>
      <c r="F78" s="13">
        <v>3579</v>
      </c>
      <c r="G78" s="13">
        <v>-1769</v>
      </c>
      <c r="H78" s="13">
        <v>-1887</v>
      </c>
      <c r="I78" s="13">
        <v>-1290</v>
      </c>
      <c r="J78" s="13">
        <v>1051</v>
      </c>
      <c r="K78" s="13">
        <v>-2494</v>
      </c>
      <c r="L78">
        <v>-733</v>
      </c>
      <c r="M78" s="13">
        <v>1187</v>
      </c>
      <c r="N78">
        <v>-478</v>
      </c>
    </row>
    <row r="79" spans="2:14">
      <c r="B79" t="s">
        <v>232</v>
      </c>
      <c r="C79" s="13">
        <v>-4122</v>
      </c>
      <c r="D79" s="13">
        <v>-4661</v>
      </c>
      <c r="E79" s="13">
        <v>-5613</v>
      </c>
      <c r="F79" s="13">
        <v>-7301</v>
      </c>
      <c r="G79" s="13">
        <v>-6221</v>
      </c>
      <c r="H79" s="13">
        <v>-6869</v>
      </c>
      <c r="I79" s="13">
        <v>-8181</v>
      </c>
      <c r="J79" s="13">
        <v>-18634</v>
      </c>
      <c r="K79" s="13">
        <v>-13580</v>
      </c>
      <c r="L79" s="13">
        <v>-13006</v>
      </c>
      <c r="M79" s="13">
        <v>-18551</v>
      </c>
      <c r="N79" s="13">
        <v>-17037</v>
      </c>
    </row>
    <row r="80" spans="2:14">
      <c r="B80" t="s">
        <v>223</v>
      </c>
      <c r="C80">
        <v>691</v>
      </c>
      <c r="D80">
        <v>979</v>
      </c>
      <c r="E80">
        <v>532</v>
      </c>
      <c r="F80" s="13">
        <v>1067</v>
      </c>
      <c r="G80">
        <v>913</v>
      </c>
      <c r="H80">
        <v>969</v>
      </c>
      <c r="I80">
        <v>625</v>
      </c>
      <c r="J80">
        <v>291</v>
      </c>
      <c r="K80">
        <v>292</v>
      </c>
      <c r="L80" s="13">
        <v>2477</v>
      </c>
      <c r="M80" s="13">
        <v>1443</v>
      </c>
      <c r="N80">
        <v>797</v>
      </c>
    </row>
    <row r="81" spans="2:14">
      <c r="B81" t="s">
        <v>224</v>
      </c>
      <c r="C81">
        <v>156</v>
      </c>
      <c r="D81">
        <v>7</v>
      </c>
      <c r="E81">
        <v>0</v>
      </c>
      <c r="F81">
        <v>0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90</v>
      </c>
    </row>
    <row r="82" spans="2:14">
      <c r="B82" t="s">
        <v>225</v>
      </c>
      <c r="C82">
        <v>-15</v>
      </c>
      <c r="D82">
        <v>-20</v>
      </c>
      <c r="E82">
        <v>-13</v>
      </c>
      <c r="F82">
        <v>-13</v>
      </c>
      <c r="G82">
        <v>-8</v>
      </c>
      <c r="H82">
        <v>-18</v>
      </c>
      <c r="I82">
        <v>-3</v>
      </c>
      <c r="J82">
        <v>-2</v>
      </c>
      <c r="K82">
        <v>-1</v>
      </c>
      <c r="L82">
        <v>-1</v>
      </c>
      <c r="M82">
        <v>-2</v>
      </c>
      <c r="N82">
        <v>-54</v>
      </c>
    </row>
    <row r="83" spans="2:14">
      <c r="B83" t="s">
        <v>226</v>
      </c>
      <c r="C83">
        <v>-48</v>
      </c>
      <c r="D83">
        <v>-16</v>
      </c>
      <c r="E83">
        <v>-28</v>
      </c>
      <c r="F83">
        <v>-25</v>
      </c>
      <c r="G83">
        <v>-49</v>
      </c>
      <c r="H83">
        <v>-98</v>
      </c>
      <c r="I83">
        <v>-44</v>
      </c>
      <c r="J83">
        <v>-41</v>
      </c>
      <c r="K83">
        <v>-40</v>
      </c>
      <c r="L83">
        <v>-41</v>
      </c>
      <c r="M83">
        <v>-46</v>
      </c>
      <c r="N83">
        <v>-50</v>
      </c>
    </row>
    <row r="84" spans="2:14">
      <c r="B84" t="s">
        <v>227</v>
      </c>
      <c r="C84" s="13">
        <v>-4239</v>
      </c>
      <c r="D84" s="13">
        <v>-4876</v>
      </c>
      <c r="E84" s="13">
        <v>-5133</v>
      </c>
      <c r="F84" s="13">
        <v>-6994</v>
      </c>
      <c r="G84" s="13">
        <v>-5952</v>
      </c>
      <c r="H84" s="13">
        <v>-6519</v>
      </c>
      <c r="I84" s="13">
        <v>-7302</v>
      </c>
      <c r="J84" s="13">
        <v>-18881</v>
      </c>
      <c r="K84" s="13">
        <v>-13788</v>
      </c>
      <c r="L84" s="13">
        <v>-15418</v>
      </c>
      <c r="M84" s="13">
        <v>-19899</v>
      </c>
      <c r="N84" s="13">
        <v>-17782</v>
      </c>
    </row>
    <row r="85" spans="2:14">
      <c r="B85" t="s">
        <v>228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-49</v>
      </c>
      <c r="J85">
        <v>-55</v>
      </c>
      <c r="K85">
        <v>-59</v>
      </c>
      <c r="L85">
        <v>-59</v>
      </c>
      <c r="M85">
        <v>-67</v>
      </c>
      <c r="N85">
        <v>-66</v>
      </c>
    </row>
    <row r="86" spans="2:14">
      <c r="B86" t="s">
        <v>229</v>
      </c>
      <c r="C86">
        <v>-667</v>
      </c>
      <c r="D86">
        <v>-734</v>
      </c>
      <c r="E86">
        <v>-971</v>
      </c>
      <c r="F86" s="13">
        <v>-1335</v>
      </c>
      <c r="G86" s="13">
        <v>-1136</v>
      </c>
      <c r="H86" s="13">
        <v>-1203</v>
      </c>
      <c r="I86" s="13">
        <v>-1409</v>
      </c>
      <c r="J86">
        <v>55</v>
      </c>
      <c r="K86">
        <v>15</v>
      </c>
      <c r="L86">
        <v>35</v>
      </c>
      <c r="M86">
        <v>12</v>
      </c>
      <c r="N86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1:I36"/>
  <sheetViews>
    <sheetView topLeftCell="A13" workbookViewId="0">
      <selection activeCell="I19" sqref="I19"/>
    </sheetView>
  </sheetViews>
  <sheetFormatPr defaultRowHeight="14.5"/>
  <cols>
    <col min="2" max="2" width="44.08984375" bestFit="1" customWidth="1"/>
    <col min="3" max="3" width="8.81640625" bestFit="1" customWidth="1"/>
  </cols>
  <sheetData>
    <row r="11" spans="2:9">
      <c r="B11" s="3" t="s">
        <v>111</v>
      </c>
      <c r="C11">
        <v>2021</v>
      </c>
      <c r="D11">
        <f>C11+1</f>
        <v>2022</v>
      </c>
      <c r="E11">
        <f t="shared" ref="E11:G11" si="0">D11+1</f>
        <v>2023</v>
      </c>
      <c r="F11">
        <f t="shared" si="0"/>
        <v>2024</v>
      </c>
      <c r="G11">
        <f t="shared" si="0"/>
        <v>2025</v>
      </c>
    </row>
    <row r="12" spans="2:9">
      <c r="B12" s="4" t="s">
        <v>112</v>
      </c>
    </row>
    <row r="13" spans="2:9">
      <c r="B13" s="4" t="s">
        <v>113</v>
      </c>
      <c r="C13" s="2">
        <f>Sheet1!C17</f>
        <v>45111.83</v>
      </c>
      <c r="D13" s="2">
        <f>Sheet1!D17</f>
        <v>55696.800000000003</v>
      </c>
      <c r="E13" s="2">
        <f>Sheet1!E17</f>
        <v>65272.88</v>
      </c>
      <c r="F13" s="2">
        <f>Sheet1!F17</f>
        <v>64781.72</v>
      </c>
      <c r="G13" s="2">
        <f>Sheet1!G17</f>
        <v>68552</v>
      </c>
      <c r="H13" s="2"/>
      <c r="I13" s="2"/>
    </row>
    <row r="14" spans="2:9">
      <c r="B14" s="4"/>
    </row>
    <row r="15" spans="2:9">
      <c r="B15" s="4" t="s">
        <v>114</v>
      </c>
      <c r="C15" s="2">
        <f>SUM(Sheet1!C22:C23)</f>
        <v>20501.47</v>
      </c>
      <c r="D15" s="2">
        <f>SUM(Sheet1!D22:D23)</f>
        <v>26798.98</v>
      </c>
      <c r="E15" s="2">
        <f>SUM(Sheet1!E22:E23)</f>
        <v>28919.68</v>
      </c>
      <c r="F15" s="2">
        <f>SUM(Sheet1!F22:F23)</f>
        <v>27352.81</v>
      </c>
      <c r="G15" s="2">
        <f>SUM(Sheet1!G22:G23)</f>
        <v>32376.339999999997</v>
      </c>
    </row>
    <row r="16" spans="2:9">
      <c r="B16" s="4"/>
    </row>
    <row r="17" spans="2:7">
      <c r="B17" s="4" t="s">
        <v>115</v>
      </c>
      <c r="C17" s="2">
        <f>C13-C15</f>
        <v>24610.36</v>
      </c>
      <c r="D17" s="2">
        <f t="shared" ref="D17:G17" si="1">D13-D15</f>
        <v>28897.820000000003</v>
      </c>
      <c r="E17" s="2">
        <f t="shared" si="1"/>
        <v>36353.199999999997</v>
      </c>
      <c r="F17" s="2">
        <f t="shared" si="1"/>
        <v>37428.910000000003</v>
      </c>
      <c r="G17" s="2">
        <f t="shared" si="1"/>
        <v>36175.660000000003</v>
      </c>
    </row>
    <row r="18" spans="2:7">
      <c r="B18" s="4" t="s">
        <v>116</v>
      </c>
    </row>
    <row r="19" spans="2:7">
      <c r="B19" s="4" t="s">
        <v>117</v>
      </c>
      <c r="C19" s="2">
        <f>Sheet1!C26</f>
        <v>2820.95</v>
      </c>
      <c r="D19" s="2">
        <f>Sheet1!D26</f>
        <v>3061.99</v>
      </c>
      <c r="E19" s="2">
        <f>Sheet1!E26</f>
        <v>3569.46</v>
      </c>
      <c r="F19" s="2">
        <f>Sheet1!F26</f>
        <v>3732.23</v>
      </c>
      <c r="G19" s="2">
        <f>Sheet1!G26</f>
        <v>3416.73</v>
      </c>
    </row>
    <row r="20" spans="2:7">
      <c r="B20" s="4"/>
    </row>
    <row r="21" spans="2:7">
      <c r="B21" s="4" t="s">
        <v>118</v>
      </c>
      <c r="C21" s="2">
        <f>Sheet1!C29</f>
        <v>7167.07</v>
      </c>
      <c r="D21" s="2">
        <f>Sheet1!D29</f>
        <v>8113.1</v>
      </c>
      <c r="E21" s="2">
        <f>Sheet1!E29</f>
        <v>9649.16</v>
      </c>
      <c r="F21" s="2">
        <f>Sheet1!F29</f>
        <v>10247.870000000001</v>
      </c>
      <c r="G21" s="2">
        <f>Sheet1!G29</f>
        <v>10146.120000000001</v>
      </c>
    </row>
    <row r="22" spans="2:7">
      <c r="B22" s="4"/>
    </row>
    <row r="23" spans="2:7">
      <c r="B23" s="4" t="s">
        <v>119</v>
      </c>
      <c r="C23" s="2">
        <f>SUM(C19,C21)</f>
        <v>9988.02</v>
      </c>
      <c r="D23" s="2">
        <f t="shared" ref="D23:G23" si="2">SUM(D19,D21)</f>
        <v>11175.09</v>
      </c>
      <c r="E23" s="2">
        <f t="shared" si="2"/>
        <v>13218.619999999999</v>
      </c>
      <c r="F23" s="2">
        <f t="shared" si="2"/>
        <v>13980.1</v>
      </c>
      <c r="G23" s="2">
        <f t="shared" si="2"/>
        <v>13562.85</v>
      </c>
    </row>
    <row r="24" spans="2:7">
      <c r="B24" s="4"/>
    </row>
    <row r="25" spans="2:7">
      <c r="B25" s="4" t="s">
        <v>120</v>
      </c>
      <c r="C25" s="2">
        <f>C17-C23</f>
        <v>14622.34</v>
      </c>
      <c r="D25" s="2">
        <f t="shared" ref="D25:G25" si="3">D17-D23</f>
        <v>17722.730000000003</v>
      </c>
      <c r="E25" s="2">
        <f t="shared" si="3"/>
        <v>23134.579999999998</v>
      </c>
      <c r="F25" s="2">
        <f t="shared" si="3"/>
        <v>23448.810000000005</v>
      </c>
      <c r="G25" s="2">
        <f t="shared" si="3"/>
        <v>22612.810000000005</v>
      </c>
    </row>
    <row r="26" spans="2:7">
      <c r="B26" s="4" t="s">
        <v>121</v>
      </c>
      <c r="C26" s="2">
        <f>Sheet1!C28</f>
        <v>1561.83</v>
      </c>
      <c r="D26" s="2">
        <f>Sheet1!D28</f>
        <v>1652.15</v>
      </c>
      <c r="E26" s="2">
        <f>Sheet1!E28</f>
        <v>1662.73</v>
      </c>
      <c r="F26" s="2">
        <f>Sheet1!F28</f>
        <v>1647.82</v>
      </c>
      <c r="G26" s="2">
        <f>Sheet1!G28</f>
        <v>1441.93</v>
      </c>
    </row>
    <row r="27" spans="2:7">
      <c r="B27" s="4"/>
    </row>
    <row r="28" spans="2:7">
      <c r="B28" s="4" t="s">
        <v>122</v>
      </c>
      <c r="C28" s="2">
        <f>Sheet1!C19</f>
        <v>3250.99</v>
      </c>
      <c r="D28" s="2">
        <f>Sheet1!D19</f>
        <v>2589.9699999999998</v>
      </c>
      <c r="E28" s="2">
        <f>Sheet1!E19</f>
        <v>2437.61</v>
      </c>
      <c r="F28" s="2">
        <f>Sheet1!F19</f>
        <v>3538.28</v>
      </c>
      <c r="G28" s="2">
        <f>Sheet1!G19</f>
        <v>3454.31</v>
      </c>
    </row>
    <row r="29" spans="2:7">
      <c r="B29" s="4"/>
    </row>
    <row r="30" spans="2:7">
      <c r="B30" s="4" t="s">
        <v>123</v>
      </c>
      <c r="C30" s="2">
        <f>C25-C26+C28</f>
        <v>16311.5</v>
      </c>
      <c r="D30" s="2">
        <f t="shared" ref="D30:G30" si="4">D25-D26+D28</f>
        <v>18660.550000000003</v>
      </c>
      <c r="E30" s="2">
        <f t="shared" si="4"/>
        <v>23909.46</v>
      </c>
      <c r="F30" s="2">
        <f t="shared" si="4"/>
        <v>25339.270000000004</v>
      </c>
      <c r="G30" s="2">
        <f t="shared" si="4"/>
        <v>24625.190000000006</v>
      </c>
    </row>
    <row r="31" spans="2:7">
      <c r="B31" s="4" t="s">
        <v>124</v>
      </c>
    </row>
    <row r="32" spans="2:7">
      <c r="B32" s="4" t="s">
        <v>125</v>
      </c>
      <c r="C32">
        <f>Sheet1!C27</f>
        <v>47.47</v>
      </c>
      <c r="D32">
        <f>Sheet1!D27</f>
        <v>41.95</v>
      </c>
      <c r="E32">
        <f>Sheet1!E27</f>
        <v>41.81</v>
      </c>
      <c r="F32">
        <f>Sheet1!F27</f>
        <v>45.73</v>
      </c>
      <c r="G32">
        <f>Sheet1!G27</f>
        <v>36.35</v>
      </c>
    </row>
    <row r="33" spans="2:7">
      <c r="B33" s="4"/>
    </row>
    <row r="34" spans="2:7">
      <c r="B34" s="4" t="s">
        <v>126</v>
      </c>
      <c r="C34" s="2">
        <f>C30-C32</f>
        <v>16264.03</v>
      </c>
      <c r="D34" s="2">
        <f t="shared" ref="D34:G34" si="5">D30-D32</f>
        <v>18618.600000000002</v>
      </c>
      <c r="E34" s="2">
        <f t="shared" si="5"/>
        <v>23867.649999999998</v>
      </c>
      <c r="F34" s="2">
        <f t="shared" si="5"/>
        <v>25293.540000000005</v>
      </c>
      <c r="G34" s="2">
        <f t="shared" si="5"/>
        <v>24588.840000000007</v>
      </c>
    </row>
    <row r="35" spans="2:7">
      <c r="B35" s="4" t="s">
        <v>127</v>
      </c>
      <c r="C35" s="2">
        <f>Sheet1!D35</f>
        <v>4833.88</v>
      </c>
      <c r="D35" s="2">
        <f>Sheet1!E35</f>
        <v>6025.32</v>
      </c>
      <c r="E35" s="2">
        <f>Sheet1!F35</f>
        <v>5661.21</v>
      </c>
      <c r="F35" s="2">
        <f>Sheet1!G35</f>
        <v>5990.17</v>
      </c>
      <c r="G35" s="2">
        <f>Sheet1!H35</f>
        <v>0</v>
      </c>
    </row>
    <row r="36" spans="2:7">
      <c r="B36" s="4" t="s">
        <v>128</v>
      </c>
      <c r="C36" s="2">
        <f>C34-C35</f>
        <v>11430.150000000001</v>
      </c>
      <c r="D36" s="2">
        <f t="shared" ref="D36:G36" si="6">D34-D35</f>
        <v>12593.280000000002</v>
      </c>
      <c r="E36" s="2">
        <f t="shared" si="6"/>
        <v>18206.439999999999</v>
      </c>
      <c r="F36" s="2">
        <f t="shared" si="6"/>
        <v>19303.370000000003</v>
      </c>
      <c r="G36" s="2">
        <f t="shared" si="6"/>
        <v>24588.840000000007</v>
      </c>
    </row>
  </sheetData>
  <pageMargins left="0.7" right="0.7" top="0.75" bottom="0.75" header="0.3" footer="0.3"/>
  <pageSetup paperSize="9" orientation="portrait" r:id="rId1"/>
  <ignoredErrors>
    <ignoredError sqref="C15:G15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2:M77"/>
  <sheetViews>
    <sheetView topLeftCell="A13" workbookViewId="0">
      <selection activeCell="H24" sqref="H24"/>
    </sheetView>
  </sheetViews>
  <sheetFormatPr defaultRowHeight="14.5"/>
  <cols>
    <col min="2" max="2" width="47.90625" bestFit="1" customWidth="1"/>
  </cols>
  <sheetData>
    <row r="12" spans="2:13">
      <c r="B12" t="s">
        <v>46</v>
      </c>
      <c r="C12" s="1">
        <v>44256</v>
      </c>
      <c r="D12" s="1">
        <v>44621</v>
      </c>
      <c r="E12" s="1">
        <v>44986</v>
      </c>
      <c r="F12" s="1">
        <v>45352</v>
      </c>
      <c r="G12" s="1">
        <v>45717</v>
      </c>
      <c r="M12" t="s">
        <v>1</v>
      </c>
    </row>
    <row r="13" spans="2:13"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M13" t="s">
        <v>1</v>
      </c>
    </row>
    <row r="14" spans="2:13">
      <c r="B14" t="s">
        <v>47</v>
      </c>
      <c r="M14" t="s">
        <v>1</v>
      </c>
    </row>
    <row r="15" spans="2:13">
      <c r="B15" t="s">
        <v>48</v>
      </c>
      <c r="M15" t="s">
        <v>1</v>
      </c>
    </row>
    <row r="16" spans="2:13">
      <c r="B16" t="s">
        <v>49</v>
      </c>
      <c r="C16" s="2">
        <v>1230.8800000000001</v>
      </c>
      <c r="D16" s="2">
        <v>1232.33</v>
      </c>
      <c r="E16" s="2">
        <v>1242.8</v>
      </c>
      <c r="F16" s="2">
        <v>1248.47</v>
      </c>
      <c r="G16" s="2">
        <v>1251.4100000000001</v>
      </c>
      <c r="M16" t="s">
        <v>1</v>
      </c>
    </row>
    <row r="17" spans="2:13">
      <c r="B17" t="s">
        <v>50</v>
      </c>
      <c r="C17" s="2">
        <v>1230.8800000000001</v>
      </c>
      <c r="D17" s="2">
        <v>1232.33</v>
      </c>
      <c r="E17" s="2">
        <v>1242.8</v>
      </c>
      <c r="F17" s="2">
        <v>1248.47</v>
      </c>
      <c r="G17" s="2">
        <v>1251.4100000000001</v>
      </c>
      <c r="M17" t="s">
        <v>1</v>
      </c>
    </row>
    <row r="18" spans="2:13">
      <c r="B18" t="s">
        <v>51</v>
      </c>
      <c r="C18" s="2">
        <v>56067.22</v>
      </c>
      <c r="D18" s="2">
        <v>58850.91</v>
      </c>
      <c r="E18" s="2">
        <v>65609.55</v>
      </c>
      <c r="F18" s="2">
        <v>70477.240000000005</v>
      </c>
      <c r="G18" s="2">
        <v>66648.73</v>
      </c>
      <c r="M18" t="s">
        <v>1</v>
      </c>
    </row>
    <row r="19" spans="2:13">
      <c r="B19" t="s">
        <v>52</v>
      </c>
      <c r="C19" s="2">
        <v>56067.22</v>
      </c>
      <c r="D19" s="2">
        <v>58850.91</v>
      </c>
      <c r="E19" s="2">
        <v>65609.55</v>
      </c>
      <c r="F19" s="2">
        <v>70477.240000000005</v>
      </c>
      <c r="G19" s="2">
        <v>66648.73</v>
      </c>
      <c r="M19" t="s">
        <v>1</v>
      </c>
    </row>
    <row r="20" spans="2:13">
      <c r="B20" t="s">
        <v>53</v>
      </c>
      <c r="C20" s="2">
        <v>59004.62</v>
      </c>
      <c r="D20" s="2">
        <v>61399.57</v>
      </c>
      <c r="E20" s="2">
        <v>67593.8</v>
      </c>
      <c r="F20" s="2">
        <v>72233.3</v>
      </c>
      <c r="G20" s="2">
        <v>67900.14</v>
      </c>
      <c r="M20" t="s">
        <v>1</v>
      </c>
    </row>
    <row r="21" spans="2:13">
      <c r="B21" t="s">
        <v>54</v>
      </c>
      <c r="M21" t="s">
        <v>1</v>
      </c>
    </row>
    <row r="22" spans="2:13">
      <c r="B22" t="s">
        <v>55</v>
      </c>
      <c r="C22">
        <v>5.28</v>
      </c>
      <c r="D22">
        <v>4.54</v>
      </c>
      <c r="E22">
        <v>3.28</v>
      </c>
      <c r="F22">
        <v>1.76</v>
      </c>
      <c r="G22">
        <v>0</v>
      </c>
      <c r="M22" t="s">
        <v>1</v>
      </c>
    </row>
    <row r="23" spans="2:13">
      <c r="B23" t="s">
        <v>56</v>
      </c>
      <c r="C23" s="2">
        <v>1727.73</v>
      </c>
      <c r="D23" s="2">
        <v>1667.14</v>
      </c>
      <c r="E23" s="2">
        <v>1621.13</v>
      </c>
      <c r="F23" s="2">
        <v>2083.66</v>
      </c>
      <c r="G23" s="2">
        <v>2556.35</v>
      </c>
      <c r="M23" t="s">
        <v>1</v>
      </c>
    </row>
    <row r="24" spans="2:13">
      <c r="B24" t="s">
        <v>57</v>
      </c>
      <c r="C24">
        <v>511.71</v>
      </c>
      <c r="D24">
        <v>356.29</v>
      </c>
      <c r="E24">
        <v>426.08</v>
      </c>
      <c r="F24">
        <v>371.82</v>
      </c>
      <c r="G24">
        <v>205.34</v>
      </c>
      <c r="M24" t="s">
        <v>1</v>
      </c>
    </row>
    <row r="25" spans="2:13">
      <c r="B25" t="s">
        <v>58</v>
      </c>
      <c r="C25">
        <v>157.07</v>
      </c>
      <c r="D25">
        <v>186.87</v>
      </c>
      <c r="E25">
        <v>201.83</v>
      </c>
      <c r="F25">
        <v>221.45</v>
      </c>
      <c r="G25">
        <v>225.23</v>
      </c>
      <c r="M25" t="s">
        <v>1</v>
      </c>
    </row>
    <row r="26" spans="2:13">
      <c r="B26" t="s">
        <v>59</v>
      </c>
      <c r="C26" s="2">
        <v>2401.79</v>
      </c>
      <c r="D26" s="2">
        <v>2214.84</v>
      </c>
      <c r="E26" s="2">
        <v>2252.3200000000002</v>
      </c>
      <c r="F26" s="2">
        <v>2678.69</v>
      </c>
      <c r="G26" s="2">
        <v>2986.92</v>
      </c>
      <c r="M26" t="s">
        <v>1</v>
      </c>
    </row>
    <row r="27" spans="2:13">
      <c r="B27" t="s">
        <v>60</v>
      </c>
      <c r="M27" t="s">
        <v>1</v>
      </c>
    </row>
    <row r="28" spans="2:13">
      <c r="B28" t="s">
        <v>61</v>
      </c>
      <c r="C28">
        <v>0.35</v>
      </c>
      <c r="D28">
        <v>0.74</v>
      </c>
      <c r="E28">
        <v>1.26</v>
      </c>
      <c r="F28">
        <v>1.52</v>
      </c>
      <c r="G28">
        <v>1.76</v>
      </c>
      <c r="M28" t="s">
        <v>1</v>
      </c>
    </row>
    <row r="29" spans="2:13">
      <c r="B29" t="s">
        <v>62</v>
      </c>
      <c r="C29" s="2">
        <v>4119.3100000000004</v>
      </c>
      <c r="D29" s="2">
        <v>4223.3999999999996</v>
      </c>
      <c r="E29" s="2">
        <v>4351.26</v>
      </c>
      <c r="F29" s="2">
        <v>4489.55</v>
      </c>
      <c r="G29" s="2">
        <v>4489.82</v>
      </c>
      <c r="M29" t="s">
        <v>1</v>
      </c>
    </row>
    <row r="30" spans="2:13">
      <c r="B30" t="s">
        <v>63</v>
      </c>
      <c r="C30" s="2">
        <v>5885.24</v>
      </c>
      <c r="D30" s="2">
        <v>7198.35</v>
      </c>
      <c r="E30" s="2">
        <v>7999.51</v>
      </c>
      <c r="F30" s="2">
        <v>7855.82</v>
      </c>
      <c r="G30" s="2">
        <v>8584.0300000000007</v>
      </c>
      <c r="M30" t="s">
        <v>1</v>
      </c>
    </row>
    <row r="31" spans="2:13">
      <c r="B31" t="s">
        <v>64</v>
      </c>
      <c r="C31">
        <v>169.05</v>
      </c>
      <c r="D31">
        <v>55.6</v>
      </c>
      <c r="E31">
        <v>63.59</v>
      </c>
      <c r="F31">
        <v>68.72</v>
      </c>
      <c r="G31">
        <v>46.53</v>
      </c>
      <c r="M31" t="s">
        <v>1</v>
      </c>
    </row>
    <row r="32" spans="2:13">
      <c r="B32" t="s">
        <v>65</v>
      </c>
      <c r="C32" s="2">
        <v>10173.950000000001</v>
      </c>
      <c r="D32" s="2">
        <v>11478.09</v>
      </c>
      <c r="E32" s="2">
        <v>12415.62</v>
      </c>
      <c r="F32" s="2">
        <v>12415.61</v>
      </c>
      <c r="G32" s="2">
        <v>13122.14</v>
      </c>
      <c r="M32" t="s">
        <v>1</v>
      </c>
    </row>
    <row r="33" spans="2:13">
      <c r="B33" t="s">
        <v>66</v>
      </c>
      <c r="C33" s="2">
        <v>71580.36</v>
      </c>
      <c r="D33" s="2">
        <v>75092.5</v>
      </c>
      <c r="E33" s="2">
        <v>82261.740000000005</v>
      </c>
      <c r="F33" s="2">
        <v>87327.6</v>
      </c>
      <c r="G33" s="2">
        <v>84009.2</v>
      </c>
      <c r="M33" t="s">
        <v>1</v>
      </c>
    </row>
    <row r="34" spans="2:13">
      <c r="B34" t="s">
        <v>67</v>
      </c>
      <c r="M34" t="s">
        <v>1</v>
      </c>
    </row>
    <row r="35" spans="2:13">
      <c r="B35" t="s">
        <v>68</v>
      </c>
      <c r="M35" t="s">
        <v>1</v>
      </c>
    </row>
    <row r="36" spans="2:13">
      <c r="B36" t="s">
        <v>69</v>
      </c>
      <c r="C36" s="2">
        <v>19216.75</v>
      </c>
      <c r="D36" s="2">
        <v>20271.990000000002</v>
      </c>
      <c r="E36" s="2">
        <v>21207.23</v>
      </c>
      <c r="F36" s="2">
        <v>22737.19</v>
      </c>
      <c r="G36" s="2">
        <v>16987.349999999999</v>
      </c>
      <c r="M36" t="s">
        <v>1</v>
      </c>
    </row>
    <row r="37" spans="2:13">
      <c r="B37" t="s">
        <v>70</v>
      </c>
      <c r="C37" s="2">
        <v>2581.52</v>
      </c>
      <c r="D37" s="2">
        <v>2584.42</v>
      </c>
      <c r="E37" s="2">
        <v>2614.62</v>
      </c>
      <c r="F37" s="2">
        <v>2632.94</v>
      </c>
      <c r="G37" s="2">
        <v>2601.2399999999998</v>
      </c>
      <c r="M37" t="s">
        <v>1</v>
      </c>
    </row>
    <row r="38" spans="2:13">
      <c r="B38" t="s">
        <v>71</v>
      </c>
      <c r="C38" s="2">
        <v>3329.97</v>
      </c>
      <c r="D38" s="2">
        <v>2442.34</v>
      </c>
      <c r="E38" s="2">
        <v>1681.47</v>
      </c>
      <c r="F38" s="2">
        <v>1077.97</v>
      </c>
      <c r="G38" s="2">
        <v>1067.79</v>
      </c>
      <c r="M38" t="s">
        <v>1</v>
      </c>
    </row>
    <row r="39" spans="2:13">
      <c r="B39" t="s">
        <v>72</v>
      </c>
      <c r="C39">
        <v>376.56</v>
      </c>
      <c r="D39">
        <v>364.2</v>
      </c>
      <c r="E39">
        <v>352.26</v>
      </c>
      <c r="F39">
        <v>373.09</v>
      </c>
      <c r="G39">
        <v>399.89</v>
      </c>
      <c r="M39" t="s">
        <v>1</v>
      </c>
    </row>
    <row r="40" spans="2:13">
      <c r="B40" t="s">
        <v>73</v>
      </c>
      <c r="C40" s="2">
        <v>25508.3</v>
      </c>
      <c r="D40" s="2">
        <v>25686.79</v>
      </c>
      <c r="E40" s="2">
        <v>25870.71</v>
      </c>
      <c r="F40" s="2">
        <v>26830.26</v>
      </c>
      <c r="G40" s="2">
        <v>21059.18</v>
      </c>
      <c r="M40" t="s">
        <v>1</v>
      </c>
    </row>
    <row r="41" spans="2:13">
      <c r="B41" t="s">
        <v>74</v>
      </c>
      <c r="C41" s="2">
        <v>12950.38</v>
      </c>
      <c r="D41" s="2">
        <v>15657.32</v>
      </c>
      <c r="E41" s="2">
        <v>16363.55</v>
      </c>
      <c r="F41" s="2">
        <v>22821.94</v>
      </c>
      <c r="G41" s="2">
        <v>20701.169999999998</v>
      </c>
      <c r="M41" t="s">
        <v>1</v>
      </c>
    </row>
    <row r="42" spans="2:13">
      <c r="B42" t="s">
        <v>75</v>
      </c>
      <c r="C42">
        <v>0</v>
      </c>
      <c r="D42">
        <v>0</v>
      </c>
      <c r="E42">
        <v>0</v>
      </c>
      <c r="F42">
        <v>0</v>
      </c>
      <c r="G42">
        <v>0</v>
      </c>
      <c r="M42" t="s">
        <v>1</v>
      </c>
    </row>
    <row r="43" spans="2:13">
      <c r="B43" t="s">
        <v>76</v>
      </c>
      <c r="C43">
        <v>2.37</v>
      </c>
      <c r="D43">
        <v>5.0599999999999996</v>
      </c>
      <c r="E43">
        <v>4.07</v>
      </c>
      <c r="F43">
        <v>2.63</v>
      </c>
      <c r="G43">
        <v>6.28</v>
      </c>
      <c r="M43" t="s">
        <v>1</v>
      </c>
    </row>
    <row r="44" spans="2:13">
      <c r="B44" t="s">
        <v>77</v>
      </c>
      <c r="C44" s="2">
        <v>1304.07</v>
      </c>
      <c r="D44" s="2">
        <v>2801.32</v>
      </c>
      <c r="E44" s="2">
        <v>4819.97</v>
      </c>
      <c r="F44" s="2">
        <v>1602.1</v>
      </c>
      <c r="G44" s="2">
        <v>2486.63</v>
      </c>
      <c r="M44" t="s">
        <v>1</v>
      </c>
    </row>
    <row r="45" spans="2:13">
      <c r="B45" t="s">
        <v>78</v>
      </c>
      <c r="C45" s="2">
        <v>39765.120000000003</v>
      </c>
      <c r="D45" s="2">
        <v>44150.49</v>
      </c>
      <c r="E45" s="2">
        <v>47058.3</v>
      </c>
      <c r="F45" s="2">
        <v>51256.93</v>
      </c>
      <c r="G45" s="2">
        <v>44253.26</v>
      </c>
      <c r="M45" t="s">
        <v>1</v>
      </c>
    </row>
    <row r="46" spans="2:13">
      <c r="B46" t="s">
        <v>79</v>
      </c>
      <c r="M46" t="s">
        <v>1</v>
      </c>
    </row>
    <row r="47" spans="2:13">
      <c r="B47" t="s">
        <v>80</v>
      </c>
      <c r="C47" s="2">
        <v>14046.71</v>
      </c>
      <c r="D47" s="2">
        <v>11624.95</v>
      </c>
      <c r="E47" s="2">
        <v>16357.07</v>
      </c>
      <c r="F47" s="2">
        <v>11916.88</v>
      </c>
      <c r="G47" s="2">
        <v>15285.91</v>
      </c>
      <c r="M47" t="s">
        <v>1</v>
      </c>
    </row>
    <row r="48" spans="2:13">
      <c r="B48" t="s">
        <v>81</v>
      </c>
      <c r="C48" s="2">
        <v>9470.8700000000008</v>
      </c>
      <c r="D48" s="2">
        <v>9997.77</v>
      </c>
      <c r="E48" s="2">
        <v>10593.9</v>
      </c>
      <c r="F48" s="2">
        <v>12631.51</v>
      </c>
      <c r="G48" s="2">
        <v>15061.01</v>
      </c>
      <c r="M48" t="s">
        <v>1</v>
      </c>
    </row>
    <row r="49" spans="2:13">
      <c r="B49" t="s">
        <v>82</v>
      </c>
      <c r="C49" s="2">
        <v>2090.29</v>
      </c>
      <c r="D49" s="2">
        <v>1952.5</v>
      </c>
      <c r="E49" s="2">
        <v>2321.33</v>
      </c>
      <c r="F49" s="2">
        <v>3311.45</v>
      </c>
      <c r="G49" s="2">
        <v>3910.77</v>
      </c>
      <c r="M49" t="s">
        <v>1</v>
      </c>
    </row>
    <row r="50" spans="2:13">
      <c r="B50" t="s">
        <v>83</v>
      </c>
      <c r="C50" s="2">
        <v>4001.53</v>
      </c>
      <c r="D50" s="2">
        <v>3877.94</v>
      </c>
      <c r="E50" s="2">
        <v>3831.26</v>
      </c>
      <c r="F50" s="2">
        <v>6217.69</v>
      </c>
      <c r="G50" s="2">
        <v>3184.38</v>
      </c>
      <c r="M50" t="s">
        <v>1</v>
      </c>
    </row>
    <row r="51" spans="2:13">
      <c r="B51" t="s">
        <v>84</v>
      </c>
      <c r="C51">
        <v>2.77</v>
      </c>
      <c r="D51">
        <v>5.73</v>
      </c>
      <c r="E51">
        <v>5.95</v>
      </c>
      <c r="F51">
        <v>9.1</v>
      </c>
      <c r="G51">
        <v>8.9600000000000009</v>
      </c>
      <c r="M51" t="s">
        <v>1</v>
      </c>
    </row>
    <row r="52" spans="2:13">
      <c r="B52" t="s">
        <v>85</v>
      </c>
      <c r="C52" s="2">
        <v>2203.0700000000002</v>
      </c>
      <c r="D52" s="2">
        <v>3483.12</v>
      </c>
      <c r="E52" s="2">
        <v>2093.9299999999998</v>
      </c>
      <c r="F52" s="2">
        <v>1984.04</v>
      </c>
      <c r="G52" s="2">
        <v>2304.91</v>
      </c>
      <c r="M52" t="s">
        <v>1</v>
      </c>
    </row>
    <row r="53" spans="2:13">
      <c r="B53" t="s">
        <v>86</v>
      </c>
      <c r="C53" s="2">
        <v>31815.24</v>
      </c>
      <c r="D53" s="2">
        <v>30942.01</v>
      </c>
      <c r="E53" s="2">
        <v>35203.440000000002</v>
      </c>
      <c r="F53" s="2">
        <v>36070.67</v>
      </c>
      <c r="G53" s="2">
        <v>39755.94</v>
      </c>
      <c r="M53" t="s">
        <v>1</v>
      </c>
    </row>
    <row r="54" spans="2:13">
      <c r="B54" t="s">
        <v>87</v>
      </c>
      <c r="C54" s="2">
        <v>71580.36</v>
      </c>
      <c r="D54" s="2">
        <v>75092.5</v>
      </c>
      <c r="E54" s="2">
        <v>82261.740000000005</v>
      </c>
      <c r="F54" s="2">
        <v>87327.6</v>
      </c>
      <c r="G54" s="2">
        <v>84009.2</v>
      </c>
      <c r="M54" t="s">
        <v>1</v>
      </c>
    </row>
    <row r="55" spans="2:13">
      <c r="B55" t="s">
        <v>32</v>
      </c>
      <c r="M55" t="s">
        <v>1</v>
      </c>
    </row>
    <row r="56" spans="2:13">
      <c r="B56" t="s">
        <v>88</v>
      </c>
      <c r="M56" t="s">
        <v>1</v>
      </c>
    </row>
    <row r="57" spans="2:13">
      <c r="B57" t="s">
        <v>89</v>
      </c>
      <c r="C57" s="2">
        <v>2339.15</v>
      </c>
      <c r="D57" s="2">
        <v>1919.98</v>
      </c>
      <c r="E57" s="2">
        <v>2339.0300000000002</v>
      </c>
      <c r="F57" s="2">
        <v>1910.93</v>
      </c>
      <c r="G57" s="2">
        <v>1880.02</v>
      </c>
      <c r="M57" t="s">
        <v>1</v>
      </c>
    </row>
    <row r="58" spans="2:13">
      <c r="B58" t="s">
        <v>90</v>
      </c>
      <c r="M58" t="s">
        <v>1</v>
      </c>
    </row>
    <row r="59" spans="2:13">
      <c r="B59" t="s">
        <v>91</v>
      </c>
      <c r="C59" s="2">
        <v>1366</v>
      </c>
      <c r="D59" s="2">
        <v>2456</v>
      </c>
      <c r="E59" s="2">
        <v>2950</v>
      </c>
      <c r="F59" s="2">
        <v>2355</v>
      </c>
      <c r="G59" s="2">
        <v>3280</v>
      </c>
      <c r="M59" t="s">
        <v>1</v>
      </c>
    </row>
    <row r="60" spans="2:13"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M60" t="s">
        <v>1</v>
      </c>
    </row>
    <row r="61" spans="2:13">
      <c r="B61" t="s">
        <v>93</v>
      </c>
      <c r="C61">
        <v>0</v>
      </c>
      <c r="D61">
        <v>0</v>
      </c>
      <c r="E61">
        <v>0</v>
      </c>
      <c r="F61">
        <v>0</v>
      </c>
      <c r="G61">
        <v>0</v>
      </c>
      <c r="M61" t="s">
        <v>1</v>
      </c>
    </row>
    <row r="62" spans="2:13">
      <c r="B62" t="s">
        <v>94</v>
      </c>
      <c r="C62">
        <v>298</v>
      </c>
      <c r="D62">
        <v>300</v>
      </c>
      <c r="E62">
        <v>213</v>
      </c>
      <c r="F62">
        <v>435</v>
      </c>
      <c r="G62">
        <v>147</v>
      </c>
      <c r="M62" t="s">
        <v>1</v>
      </c>
    </row>
    <row r="63" spans="2:13">
      <c r="B63" t="s">
        <v>95</v>
      </c>
      <c r="M63" t="s">
        <v>1</v>
      </c>
    </row>
    <row r="64" spans="2:13"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M64" t="s">
        <v>1</v>
      </c>
    </row>
    <row r="65" spans="2:13">
      <c r="B65" t="s">
        <v>97</v>
      </c>
      <c r="M65" t="s">
        <v>1</v>
      </c>
    </row>
    <row r="66" spans="2:13">
      <c r="B66" t="s">
        <v>98</v>
      </c>
      <c r="C66" t="s">
        <v>99</v>
      </c>
      <c r="D66" t="s">
        <v>99</v>
      </c>
      <c r="E66" t="s">
        <v>99</v>
      </c>
      <c r="F66" t="s">
        <v>99</v>
      </c>
      <c r="G66" t="s">
        <v>99</v>
      </c>
      <c r="M66" t="s">
        <v>1</v>
      </c>
    </row>
    <row r="67" spans="2:13">
      <c r="B67" t="s">
        <v>100</v>
      </c>
      <c r="M67" t="s">
        <v>1</v>
      </c>
    </row>
    <row r="68" spans="2:13">
      <c r="B68" t="s">
        <v>101</v>
      </c>
      <c r="C68" s="2">
        <v>5934</v>
      </c>
      <c r="D68" s="2">
        <v>11472</v>
      </c>
      <c r="E68" s="2">
        <v>10777</v>
      </c>
      <c r="F68" s="2">
        <v>9512</v>
      </c>
      <c r="G68" s="2">
        <v>10445</v>
      </c>
      <c r="M68" t="s">
        <v>1</v>
      </c>
    </row>
    <row r="69" spans="2:13">
      <c r="B69" t="s">
        <v>102</v>
      </c>
      <c r="C69" t="s">
        <v>99</v>
      </c>
      <c r="D69" t="s">
        <v>99</v>
      </c>
      <c r="E69" t="s">
        <v>99</v>
      </c>
      <c r="F69" t="s">
        <v>99</v>
      </c>
      <c r="G69" t="s">
        <v>99</v>
      </c>
      <c r="M69" t="s">
        <v>1</v>
      </c>
    </row>
    <row r="70" spans="2:13">
      <c r="B70" t="s">
        <v>103</v>
      </c>
      <c r="M70" t="s">
        <v>1</v>
      </c>
    </row>
    <row r="71" spans="2:13">
      <c r="B71" t="s">
        <v>104</v>
      </c>
      <c r="C71" s="2">
        <v>1113.1400000000001</v>
      </c>
      <c r="D71" s="2">
        <v>1113.1400000000001</v>
      </c>
      <c r="E71" s="2">
        <v>1113.1400000000001</v>
      </c>
      <c r="F71" s="2">
        <v>1113.1400000000001</v>
      </c>
      <c r="G71" s="2">
        <v>1113.1400000000001</v>
      </c>
      <c r="M71" t="s">
        <v>1</v>
      </c>
    </row>
    <row r="72" spans="2:13">
      <c r="B72" t="s">
        <v>105</v>
      </c>
      <c r="M72" t="s">
        <v>1</v>
      </c>
    </row>
    <row r="73" spans="2:13">
      <c r="B73" t="s">
        <v>106</v>
      </c>
      <c r="C73" s="2">
        <v>9984.0300000000007</v>
      </c>
      <c r="D73" s="2">
        <v>11205.72</v>
      </c>
      <c r="E73" s="2">
        <v>8340.39</v>
      </c>
      <c r="F73" s="2">
        <v>12915.49</v>
      </c>
      <c r="G73" s="2">
        <v>25924.28</v>
      </c>
      <c r="M73" t="s">
        <v>1</v>
      </c>
    </row>
    <row r="74" spans="2:13">
      <c r="B74" t="s">
        <v>107</v>
      </c>
      <c r="C74" s="2">
        <v>3465.92</v>
      </c>
      <c r="D74" s="2">
        <v>4705.95</v>
      </c>
      <c r="E74" s="2">
        <v>8060.95</v>
      </c>
      <c r="F74" s="2">
        <v>9996.9500000000007</v>
      </c>
      <c r="G74" s="2">
        <v>6937.42</v>
      </c>
      <c r="M74" t="s">
        <v>1</v>
      </c>
    </row>
    <row r="75" spans="2:13">
      <c r="B75" t="s">
        <v>108</v>
      </c>
      <c r="M75" t="s">
        <v>1</v>
      </c>
    </row>
    <row r="76" spans="2:13">
      <c r="B76" t="s">
        <v>109</v>
      </c>
      <c r="C76" s="2">
        <v>4302.03</v>
      </c>
      <c r="D76" s="2">
        <v>4483.7700000000004</v>
      </c>
      <c r="E76" s="2">
        <v>3253.03</v>
      </c>
      <c r="F76">
        <v>102.5</v>
      </c>
      <c r="G76" s="2">
        <v>3644.76</v>
      </c>
      <c r="M76" t="s">
        <v>1</v>
      </c>
    </row>
    <row r="77" spans="2:13">
      <c r="B77" t="s">
        <v>110</v>
      </c>
      <c r="C77" s="2">
        <v>9774.6299999999992</v>
      </c>
      <c r="D77" s="2">
        <v>7157.66</v>
      </c>
      <c r="E77" s="2">
        <v>13104.5</v>
      </c>
      <c r="F77" s="2">
        <v>11814.01</v>
      </c>
      <c r="G77" s="2">
        <v>11641.15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3:T46"/>
  <sheetViews>
    <sheetView topLeftCell="D27" workbookViewId="0">
      <selection activeCell="K34" sqref="K34"/>
    </sheetView>
  </sheetViews>
  <sheetFormatPr defaultRowHeight="14.5"/>
  <cols>
    <col min="3" max="3" width="15.54296875" bestFit="1" customWidth="1"/>
    <col min="6" max="6" width="17.26953125" bestFit="1" customWidth="1"/>
  </cols>
  <sheetData>
    <row r="13" spans="2:11">
      <c r="B13" s="5"/>
      <c r="C13" s="5"/>
      <c r="D13" s="5"/>
      <c r="E13" s="5"/>
      <c r="F13" s="5"/>
      <c r="G13" s="5"/>
      <c r="H13" s="5" t="s">
        <v>129</v>
      </c>
      <c r="I13" s="5" t="s">
        <v>129</v>
      </c>
      <c r="J13" s="5" t="s">
        <v>130</v>
      </c>
      <c r="K13" s="5" t="s">
        <v>130</v>
      </c>
    </row>
    <row r="14" spans="2:11" ht="16.5">
      <c r="B14" s="5" t="s">
        <v>131</v>
      </c>
      <c r="C14" s="5" t="s">
        <v>132</v>
      </c>
      <c r="D14" s="5" t="s">
        <v>133</v>
      </c>
      <c r="E14" s="5" t="s">
        <v>134</v>
      </c>
      <c r="F14" s="5" t="s">
        <v>135</v>
      </c>
      <c r="G14" s="5" t="s">
        <v>136</v>
      </c>
      <c r="H14" s="5" t="s">
        <v>137</v>
      </c>
      <c r="I14" s="5" t="s">
        <v>138</v>
      </c>
      <c r="J14" s="5" t="s">
        <v>139</v>
      </c>
      <c r="K14" s="5" t="s">
        <v>140</v>
      </c>
    </row>
    <row r="16" spans="2:11">
      <c r="C16" s="17" t="s">
        <v>141</v>
      </c>
      <c r="D16" t="s">
        <v>156</v>
      </c>
      <c r="E16" s="16">
        <v>284.54000000000002</v>
      </c>
      <c r="F16" s="14">
        <v>600015</v>
      </c>
      <c r="G16" s="15">
        <v>0.3</v>
      </c>
      <c r="H16">
        <f>E16/F16</f>
        <v>4.7422147779638843E-4</v>
      </c>
      <c r="I16">
        <f>E16/SUM(E16:F16)</f>
        <v>4.739966983816113E-4</v>
      </c>
      <c r="J16" s="18">
        <v>1</v>
      </c>
      <c r="K16">
        <f>J16*(1+(1-G16)*F16)</f>
        <v>420011.5</v>
      </c>
    </row>
    <row r="17" spans="2:20">
      <c r="B17" s="33"/>
      <c r="C17" s="34" t="s">
        <v>142</v>
      </c>
      <c r="D17" s="33" t="s">
        <v>156</v>
      </c>
      <c r="E17" s="35">
        <v>1166.8499999999999</v>
      </c>
      <c r="F17" s="36">
        <v>519668</v>
      </c>
      <c r="G17" s="37">
        <v>0.3</v>
      </c>
      <c r="H17" s="33">
        <f t="shared" ref="H17:H20" si="0">E17/F17</f>
        <v>2.2453758938399131E-3</v>
      </c>
      <c r="I17" s="33">
        <f t="shared" ref="I17:I20" si="1">E17/SUM(E17:F17)</f>
        <v>2.2403454761139737E-3</v>
      </c>
      <c r="J17" s="38">
        <v>1</v>
      </c>
      <c r="K17" s="33">
        <f t="shared" ref="K17:K20" si="2">J17*(1+(1-G17)*F17)</f>
        <v>363768.6</v>
      </c>
    </row>
    <row r="18" spans="2:20">
      <c r="C18" s="17" t="s">
        <v>143</v>
      </c>
      <c r="D18" t="s">
        <v>156</v>
      </c>
      <c r="E18" s="16">
        <v>2138.25</v>
      </c>
      <c r="F18" s="19">
        <v>219490</v>
      </c>
      <c r="G18" s="15">
        <v>0.3</v>
      </c>
      <c r="H18">
        <f t="shared" si="0"/>
        <v>9.7419016811699857E-3</v>
      </c>
      <c r="I18">
        <f t="shared" si="1"/>
        <v>9.6479126645632948E-3</v>
      </c>
      <c r="J18" s="18">
        <v>1</v>
      </c>
      <c r="K18">
        <f t="shared" si="2"/>
        <v>153644</v>
      </c>
    </row>
    <row r="19" spans="2:20">
      <c r="C19" s="17" t="s">
        <v>144</v>
      </c>
      <c r="D19" t="s">
        <v>156</v>
      </c>
      <c r="E19" s="16">
        <v>1246.51</v>
      </c>
      <c r="F19" s="22">
        <v>173120</v>
      </c>
      <c r="G19" s="15">
        <v>0.3</v>
      </c>
      <c r="H19">
        <f t="shared" si="0"/>
        <v>7.2002657116451013E-3</v>
      </c>
      <c r="I19">
        <f t="shared" si="1"/>
        <v>7.1487925060838798E-3</v>
      </c>
      <c r="J19" s="18">
        <v>1</v>
      </c>
      <c r="K19">
        <f t="shared" si="2"/>
        <v>121184.99999999999</v>
      </c>
    </row>
    <row r="20" spans="2:20">
      <c r="C20" s="17" t="s">
        <v>145</v>
      </c>
      <c r="D20" t="s">
        <v>156</v>
      </c>
      <c r="E20" s="16">
        <v>4009.19</v>
      </c>
      <c r="F20" s="21">
        <v>139655</v>
      </c>
      <c r="G20" s="15">
        <v>0.3</v>
      </c>
      <c r="H20">
        <f t="shared" si="0"/>
        <v>2.8707815688661344E-2</v>
      </c>
      <c r="I20">
        <f t="shared" si="1"/>
        <v>2.7906675978196096E-2</v>
      </c>
      <c r="J20" s="18">
        <v>1</v>
      </c>
      <c r="K20">
        <f t="shared" si="2"/>
        <v>97759.5</v>
      </c>
    </row>
    <row r="25" spans="2:20" ht="19" thickBot="1">
      <c r="B25" s="23" t="s">
        <v>168</v>
      </c>
      <c r="C25" s="24"/>
      <c r="D25" s="24"/>
      <c r="E25" s="24"/>
      <c r="F25" s="24"/>
      <c r="G25" s="24"/>
      <c r="H25" s="24"/>
      <c r="N25" s="23" t="s">
        <v>171</v>
      </c>
      <c r="O25" s="24"/>
      <c r="P25" s="24"/>
      <c r="Q25" s="24"/>
      <c r="R25" s="24"/>
      <c r="S25" s="24"/>
      <c r="T25" s="24"/>
    </row>
    <row r="26" spans="2:20" ht="15.5" thickTop="1" thickBot="1"/>
    <row r="27" spans="2:20" ht="15" thickBot="1">
      <c r="B27" s="25" t="s">
        <v>169</v>
      </c>
      <c r="C27" s="25"/>
      <c r="D27" s="25"/>
      <c r="E27" s="25"/>
      <c r="F27" s="25"/>
      <c r="G27" s="25"/>
      <c r="H27" s="26">
        <v>0.124</v>
      </c>
      <c r="N27" s="25" t="s">
        <v>172</v>
      </c>
      <c r="O27" s="25"/>
      <c r="P27" s="25"/>
      <c r="Q27" s="25"/>
      <c r="R27" s="25"/>
      <c r="S27" s="25"/>
      <c r="T27" s="26">
        <v>7.5999999999999998E-2</v>
      </c>
    </row>
    <row r="28" spans="2:20" ht="15" thickBot="1">
      <c r="B28" s="25" t="s">
        <v>136</v>
      </c>
      <c r="C28" s="25"/>
      <c r="D28" s="25"/>
      <c r="E28" s="25"/>
      <c r="F28" s="25"/>
      <c r="G28" s="25"/>
      <c r="H28" s="27">
        <v>0.3</v>
      </c>
      <c r="N28" s="25" t="s">
        <v>173</v>
      </c>
      <c r="O28" s="25"/>
      <c r="P28" s="25"/>
      <c r="Q28" s="25"/>
      <c r="R28" s="25"/>
      <c r="S28" s="25"/>
      <c r="T28" s="26">
        <v>0.09</v>
      </c>
    </row>
    <row r="29" spans="2:20" ht="17" thickBot="1">
      <c r="B29" s="25" t="s">
        <v>170</v>
      </c>
      <c r="C29" s="25"/>
      <c r="D29" s="25"/>
      <c r="E29" s="25"/>
      <c r="F29" s="25"/>
      <c r="G29" s="25"/>
      <c r="H29" s="28">
        <f>H27*(1-H28)</f>
        <v>8.6799999999999988E-2</v>
      </c>
      <c r="N29" s="25" t="s">
        <v>174</v>
      </c>
      <c r="O29" s="25"/>
      <c r="P29" s="25"/>
      <c r="Q29" s="25"/>
      <c r="R29" s="25"/>
      <c r="S29" s="25"/>
      <c r="T29" s="28">
        <f>T38</f>
        <v>0.155</v>
      </c>
    </row>
    <row r="30" spans="2:20" ht="15" thickBot="1">
      <c r="N30" s="25" t="s">
        <v>175</v>
      </c>
      <c r="O30" s="25"/>
      <c r="P30" s="25"/>
      <c r="Q30" s="25"/>
      <c r="R30" s="25"/>
      <c r="S30" s="25"/>
      <c r="T30" s="28">
        <f>T27+T28*T29</f>
        <v>8.9950000000000002E-2</v>
      </c>
    </row>
    <row r="33" spans="2:20" ht="19" thickBot="1">
      <c r="B33" s="23" t="s">
        <v>176</v>
      </c>
      <c r="C33" s="24"/>
      <c r="D33" s="24"/>
      <c r="E33" s="24"/>
      <c r="F33" s="24"/>
      <c r="G33" s="24"/>
      <c r="H33" s="24"/>
      <c r="N33" s="23" t="s">
        <v>181</v>
      </c>
      <c r="O33" s="24"/>
      <c r="P33" s="24"/>
      <c r="Q33" s="24"/>
      <c r="R33" s="24"/>
      <c r="S33" s="24"/>
      <c r="T33" s="24"/>
    </row>
    <row r="34" spans="2:20" ht="15.5" thickTop="1" thickBot="1"/>
    <row r="35" spans="2:20" ht="15" thickBot="1">
      <c r="B35" s="25"/>
      <c r="C35" s="25"/>
      <c r="D35" s="25"/>
      <c r="E35" s="25"/>
      <c r="F35" s="25"/>
      <c r="G35" s="29" t="s">
        <v>177</v>
      </c>
      <c r="H35" s="29" t="s">
        <v>178</v>
      </c>
      <c r="N35" s="25" t="s">
        <v>182</v>
      </c>
      <c r="O35" s="25"/>
      <c r="P35" s="25"/>
      <c r="Q35" s="25"/>
      <c r="R35" s="25"/>
      <c r="S35" s="25"/>
      <c r="T35" s="26">
        <v>0.13500000000000001</v>
      </c>
    </row>
    <row r="36" spans="2:20" ht="15" thickBot="1">
      <c r="B36" s="25" t="s">
        <v>134</v>
      </c>
      <c r="C36" s="25"/>
      <c r="D36" s="25"/>
      <c r="E36" s="25"/>
      <c r="F36" s="30">
        <v>250000</v>
      </c>
      <c r="G36" s="31">
        <f>F36/$F$38</f>
        <v>0.30864197530864196</v>
      </c>
      <c r="H36" s="27">
        <v>0.86</v>
      </c>
      <c r="N36" s="25" t="s">
        <v>183</v>
      </c>
      <c r="O36" s="25"/>
      <c r="P36" s="25"/>
      <c r="Q36" s="25"/>
      <c r="R36" s="25"/>
      <c r="S36" s="25"/>
      <c r="T36" s="26">
        <v>0.08</v>
      </c>
    </row>
    <row r="37" spans="2:20" ht="15" thickBot="1">
      <c r="B37" s="25" t="s">
        <v>179</v>
      </c>
      <c r="C37" s="25"/>
      <c r="D37" s="25"/>
      <c r="E37" s="25"/>
      <c r="F37" s="30">
        <v>560000</v>
      </c>
      <c r="G37" s="31">
        <f t="shared" ref="G37:G38" si="3">F37/$F$38</f>
        <v>0.69135802469135799</v>
      </c>
      <c r="H37" s="27">
        <f>H38-H36</f>
        <v>0.14000000000000001</v>
      </c>
      <c r="N37" s="25" t="s">
        <v>184</v>
      </c>
      <c r="O37" s="25"/>
      <c r="P37" s="25"/>
      <c r="Q37" s="25"/>
      <c r="R37" s="25"/>
      <c r="S37" s="25"/>
      <c r="T37" s="27">
        <f>G17</f>
        <v>0.3</v>
      </c>
    </row>
    <row r="38" spans="2:20" ht="15" thickBot="1">
      <c r="B38" s="25" t="s">
        <v>180</v>
      </c>
      <c r="C38" s="25"/>
      <c r="D38" s="25"/>
      <c r="E38" s="25"/>
      <c r="F38" s="30">
        <f>SUM(F36:F37)</f>
        <v>810000</v>
      </c>
      <c r="G38" s="31">
        <f t="shared" si="3"/>
        <v>1</v>
      </c>
      <c r="H38" s="27">
        <f>G38</f>
        <v>1</v>
      </c>
      <c r="N38" s="25" t="s">
        <v>185</v>
      </c>
      <c r="O38" s="25"/>
      <c r="P38" s="25"/>
      <c r="Q38" s="25"/>
      <c r="R38" s="25"/>
      <c r="S38" s="25"/>
      <c r="T38" s="28">
        <v>0.155</v>
      </c>
    </row>
    <row r="40" spans="2:20" ht="15" thickBot="1"/>
    <row r="41" spans="2:20" ht="19" thickBot="1">
      <c r="B41" s="25" t="s">
        <v>186</v>
      </c>
      <c r="C41" s="25"/>
      <c r="D41" s="25"/>
      <c r="E41" s="25"/>
      <c r="F41" s="25"/>
      <c r="G41" s="28">
        <f>G36/G37</f>
        <v>0.44642857142857145</v>
      </c>
      <c r="H41" s="28">
        <f>H36/H37</f>
        <v>6.1428571428571423</v>
      </c>
      <c r="N41" s="23" t="s">
        <v>187</v>
      </c>
      <c r="O41" s="24"/>
      <c r="P41" s="24"/>
      <c r="Q41" s="24"/>
      <c r="R41" s="24"/>
      <c r="S41" s="24"/>
      <c r="T41" s="24"/>
    </row>
    <row r="42" spans="2:20" ht="15" thickBot="1"/>
    <row r="43" spans="2:20" ht="15" thickBot="1">
      <c r="N43" s="25"/>
      <c r="O43" s="25"/>
      <c r="P43" s="25"/>
      <c r="Q43" s="25"/>
      <c r="R43" s="25"/>
      <c r="S43" s="32" t="s">
        <v>188</v>
      </c>
      <c r="T43" s="32" t="s">
        <v>189</v>
      </c>
    </row>
    <row r="44" spans="2:20" ht="15" thickBot="1">
      <c r="N44" s="25" t="s">
        <v>190</v>
      </c>
      <c r="O44" s="25"/>
      <c r="P44" s="25"/>
      <c r="Q44" s="25"/>
      <c r="R44" s="25"/>
      <c r="S44" s="26">
        <f>H29</f>
        <v>8.6799999999999988E-2</v>
      </c>
      <c r="T44" s="27">
        <f>H36</f>
        <v>0.86</v>
      </c>
    </row>
    <row r="45" spans="2:20" ht="15" thickBot="1">
      <c r="N45" s="25" t="s">
        <v>191</v>
      </c>
      <c r="O45" s="25"/>
      <c r="P45" s="25"/>
      <c r="Q45" s="25"/>
      <c r="R45" s="25"/>
      <c r="S45" s="26">
        <f>T28</f>
        <v>0.09</v>
      </c>
      <c r="T45" s="27">
        <f>H37</f>
        <v>0.14000000000000001</v>
      </c>
    </row>
    <row r="46" spans="2:20" ht="15" thickBot="1">
      <c r="N46" s="25" t="s">
        <v>187</v>
      </c>
      <c r="O46" s="25"/>
      <c r="P46" s="25"/>
      <c r="Q46" s="25"/>
      <c r="R46" s="25"/>
      <c r="S46" s="54">
        <f>SUMPRODUCT(S44:T45)</f>
        <v>1.1768000000000001</v>
      </c>
      <c r="T46" s="54"/>
    </row>
  </sheetData>
  <mergeCells count="1">
    <mergeCell ref="S46:T46"/>
  </mergeCells>
  <hyperlinks>
    <hyperlink ref="C16" r:id="rId1" display="https://www.screener.in/company/HINDUNILVR/consolidated/"/>
    <hyperlink ref="C17" r:id="rId2" display="https://www.screener.in/company/ITC/consolidated/"/>
    <hyperlink ref="C18" r:id="rId3" display="https://www.screener.in/company/NESTLEIND/"/>
    <hyperlink ref="C19" r:id="rId4" display="https://www.screener.in/company/VBL/consolidated/"/>
    <hyperlink ref="C20" r:id="rId5" display="https://www.screener.in/company/BRITANNIA/consolidated/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B13:G80"/>
  <sheetViews>
    <sheetView topLeftCell="A54" workbookViewId="0">
      <selection activeCell="C81" sqref="C81"/>
    </sheetView>
  </sheetViews>
  <sheetFormatPr defaultRowHeight="14.5"/>
  <cols>
    <col min="2" max="2" width="35.26953125" bestFit="1" customWidth="1"/>
    <col min="3" max="3" width="8.81640625" bestFit="1" customWidth="1"/>
  </cols>
  <sheetData>
    <row r="13" spans="2:7" ht="15" thickBot="1">
      <c r="B13" s="55" t="s">
        <v>192</v>
      </c>
      <c r="C13" s="55"/>
      <c r="D13" s="55"/>
      <c r="E13" s="55"/>
      <c r="F13" s="55"/>
      <c r="G13" s="55"/>
    </row>
    <row r="14" spans="2:7" ht="15" thickBot="1">
      <c r="B14" s="39" t="s">
        <v>193</v>
      </c>
      <c r="C14" s="39">
        <v>2021</v>
      </c>
      <c r="D14" s="39">
        <f>C14+1</f>
        <v>2022</v>
      </c>
      <c r="E14" s="39">
        <f t="shared" ref="E14:G14" si="0">D14+1</f>
        <v>2023</v>
      </c>
      <c r="F14" s="39">
        <f t="shared" si="0"/>
        <v>2024</v>
      </c>
      <c r="G14" s="39">
        <f t="shared" si="0"/>
        <v>2025</v>
      </c>
    </row>
    <row r="16" spans="2:7">
      <c r="B16" t="s">
        <v>194</v>
      </c>
    </row>
    <row r="17" spans="2:7">
      <c r="B17" t="str">
        <f>Sheet3!B47</f>
        <v>Current Investments</v>
      </c>
      <c r="C17" s="2">
        <f>Sheet3!C47</f>
        <v>14046.71</v>
      </c>
      <c r="D17" s="2">
        <f>Sheet3!D47</f>
        <v>11624.95</v>
      </c>
      <c r="E17" s="2">
        <f>Sheet3!E47</f>
        <v>16357.07</v>
      </c>
      <c r="F17" s="2">
        <f>Sheet3!F47</f>
        <v>11916.88</v>
      </c>
      <c r="G17" s="2">
        <f>Sheet3!G47</f>
        <v>15285.91</v>
      </c>
    </row>
    <row r="18" spans="2:7">
      <c r="B18" t="str">
        <f>Sheet3!B48</f>
        <v>Inventories</v>
      </c>
      <c r="C18" s="2">
        <f>Sheet3!C48</f>
        <v>9470.8700000000008</v>
      </c>
      <c r="D18" s="2">
        <f>Sheet3!D48</f>
        <v>9997.77</v>
      </c>
      <c r="E18" s="2">
        <f>Sheet3!E48</f>
        <v>10593.9</v>
      </c>
      <c r="F18" s="2">
        <f>Sheet3!F48</f>
        <v>12631.51</v>
      </c>
      <c r="G18" s="2">
        <f>Sheet3!G48</f>
        <v>15061.01</v>
      </c>
    </row>
    <row r="19" spans="2:7">
      <c r="B19" t="str">
        <f>Sheet3!B49</f>
        <v>Trade Receivables</v>
      </c>
      <c r="C19" s="2">
        <f>Sheet3!C49</f>
        <v>2090.29</v>
      </c>
      <c r="D19" s="2">
        <f>Sheet3!D49</f>
        <v>1952.5</v>
      </c>
      <c r="E19" s="2">
        <f>Sheet3!E49</f>
        <v>2321.33</v>
      </c>
      <c r="F19" s="2">
        <f>Sheet3!F49</f>
        <v>3311.45</v>
      </c>
      <c r="G19" s="2">
        <f>Sheet3!G49</f>
        <v>3910.77</v>
      </c>
    </row>
    <row r="20" spans="2:7">
      <c r="B20" t="str">
        <f>Sheet3!B51</f>
        <v>Short Term Loans And Advances</v>
      </c>
      <c r="C20" s="2">
        <f>Sheet3!C51</f>
        <v>2.77</v>
      </c>
      <c r="D20" s="2">
        <f>Sheet3!D51</f>
        <v>5.73</v>
      </c>
      <c r="E20" s="2">
        <f>Sheet3!E51</f>
        <v>5.95</v>
      </c>
      <c r="F20" s="2">
        <f>Sheet3!F51</f>
        <v>9.1</v>
      </c>
      <c r="G20" s="2">
        <f>Sheet3!G51</f>
        <v>8.9600000000000009</v>
      </c>
    </row>
    <row r="21" spans="2:7">
      <c r="B21" t="str">
        <f>Sheet3!B52</f>
        <v>OtherCurrentAssets</v>
      </c>
      <c r="C21" s="2">
        <f>Sheet3!C52</f>
        <v>2203.0700000000002</v>
      </c>
      <c r="D21" s="2">
        <f>Sheet3!D52</f>
        <v>3483.12</v>
      </c>
      <c r="E21" s="2">
        <f>Sheet3!E52</f>
        <v>2093.9299999999998</v>
      </c>
      <c r="F21" s="2">
        <f>Sheet3!F52</f>
        <v>1984.04</v>
      </c>
      <c r="G21" s="2">
        <f>Sheet3!G52</f>
        <v>2304.91</v>
      </c>
    </row>
    <row r="22" spans="2:7">
      <c r="B22" t="s">
        <v>195</v>
      </c>
      <c r="C22" s="2">
        <f>SUM(C17:C21)</f>
        <v>27813.710000000003</v>
      </c>
      <c r="D22" s="2">
        <f t="shared" ref="D22:G22" si="1">SUM(D17:D21)</f>
        <v>27064.07</v>
      </c>
      <c r="E22" s="2">
        <f t="shared" si="1"/>
        <v>31372.180000000004</v>
      </c>
      <c r="F22" s="2">
        <f t="shared" si="1"/>
        <v>29852.98</v>
      </c>
      <c r="G22" s="2">
        <f t="shared" si="1"/>
        <v>36571.56</v>
      </c>
    </row>
    <row r="24" spans="2:7">
      <c r="B24" t="s">
        <v>196</v>
      </c>
    </row>
    <row r="25" spans="2:7">
      <c r="B25" t="str">
        <f>Sheet3!B28</f>
        <v>Short Term Borrowings</v>
      </c>
      <c r="C25">
        <f>Sheet3!C28</f>
        <v>0.35</v>
      </c>
      <c r="D25">
        <f>Sheet3!D28</f>
        <v>0.74</v>
      </c>
      <c r="E25">
        <f>Sheet3!E28</f>
        <v>1.26</v>
      </c>
      <c r="F25">
        <f>Sheet3!F28</f>
        <v>1.52</v>
      </c>
      <c r="G25">
        <f>Sheet3!G28</f>
        <v>1.76</v>
      </c>
    </row>
    <row r="26" spans="2:7">
      <c r="B26" t="str">
        <f>Sheet3!B29</f>
        <v>Trade Payables</v>
      </c>
      <c r="C26">
        <f>Sheet3!C29</f>
        <v>4119.3100000000004</v>
      </c>
      <c r="D26">
        <f>Sheet3!D29</f>
        <v>4223.3999999999996</v>
      </c>
      <c r="E26">
        <f>Sheet3!E29</f>
        <v>4351.26</v>
      </c>
      <c r="F26">
        <f>Sheet3!F29</f>
        <v>4489.55</v>
      </c>
      <c r="G26">
        <f>Sheet3!G29</f>
        <v>4489.82</v>
      </c>
    </row>
    <row r="27" spans="2:7">
      <c r="B27" t="str">
        <f>Sheet3!B30</f>
        <v>Other Current Liabilities</v>
      </c>
      <c r="C27">
        <f>Sheet3!C30</f>
        <v>5885.24</v>
      </c>
      <c r="D27">
        <f>Sheet3!D30</f>
        <v>7198.35</v>
      </c>
      <c r="E27">
        <f>Sheet3!E30</f>
        <v>7999.51</v>
      </c>
      <c r="F27">
        <f>Sheet3!F30</f>
        <v>7855.82</v>
      </c>
      <c r="G27">
        <f>Sheet3!G30</f>
        <v>8584.0300000000007</v>
      </c>
    </row>
    <row r="28" spans="2:7">
      <c r="B28" t="str">
        <f>Sheet3!B31</f>
        <v>Short Term Provisions</v>
      </c>
      <c r="C28">
        <f>Sheet3!C31</f>
        <v>169.05</v>
      </c>
      <c r="D28">
        <f>Sheet3!D31</f>
        <v>55.6</v>
      </c>
      <c r="E28">
        <f>Sheet3!E31</f>
        <v>63.59</v>
      </c>
      <c r="F28">
        <f>Sheet3!F31</f>
        <v>68.72</v>
      </c>
      <c r="G28">
        <f>Sheet3!G31</f>
        <v>46.53</v>
      </c>
    </row>
    <row r="29" spans="2:7">
      <c r="B29" t="s">
        <v>197</v>
      </c>
      <c r="C29">
        <f>SUM(C25:C28)</f>
        <v>10173.950000000001</v>
      </c>
      <c r="D29">
        <f t="shared" ref="D29:G29" si="2">SUM(D25:D28)</f>
        <v>11478.09</v>
      </c>
      <c r="E29">
        <f t="shared" si="2"/>
        <v>12415.62</v>
      </c>
      <c r="F29">
        <f t="shared" si="2"/>
        <v>12415.609999999999</v>
      </c>
      <c r="G29">
        <f t="shared" si="2"/>
        <v>13122.140000000001</v>
      </c>
    </row>
    <row r="31" spans="2:7">
      <c r="B31" t="s">
        <v>198</v>
      </c>
      <c r="C31" s="2">
        <f>C22-C29</f>
        <v>17639.760000000002</v>
      </c>
      <c r="D31" s="2">
        <f t="shared" ref="D31:G31" si="3">D22-D29</f>
        <v>15585.98</v>
      </c>
      <c r="E31" s="2">
        <f t="shared" si="3"/>
        <v>18956.560000000005</v>
      </c>
      <c r="F31" s="2">
        <f t="shared" si="3"/>
        <v>17437.370000000003</v>
      </c>
      <c r="G31" s="2">
        <f t="shared" si="3"/>
        <v>23449.42</v>
      </c>
    </row>
    <row r="33" spans="2:7">
      <c r="B33" t="s">
        <v>199</v>
      </c>
    </row>
    <row r="34" spans="2:7">
      <c r="B34" t="str">
        <f>Sheet3!B36</f>
        <v>Tangible Assets</v>
      </c>
      <c r="C34" s="2">
        <f>Sheet3!C36</f>
        <v>19216.75</v>
      </c>
      <c r="D34" s="2">
        <f>Sheet3!D36</f>
        <v>20271.990000000002</v>
      </c>
      <c r="E34" s="2">
        <f>Sheet3!E36</f>
        <v>21207.23</v>
      </c>
      <c r="F34" s="2">
        <f>Sheet3!F36</f>
        <v>22737.19</v>
      </c>
      <c r="G34" s="2">
        <f>Sheet3!G36</f>
        <v>16987.349999999999</v>
      </c>
    </row>
    <row r="35" spans="2:7">
      <c r="B35" t="str">
        <f>Sheet3!B37</f>
        <v>Intangible Assets</v>
      </c>
      <c r="C35" s="2">
        <f>Sheet3!C37</f>
        <v>2581.52</v>
      </c>
      <c r="D35" s="2">
        <f>Sheet3!D37</f>
        <v>2584.42</v>
      </c>
      <c r="E35" s="2">
        <f>Sheet3!E37</f>
        <v>2614.62</v>
      </c>
      <c r="F35" s="2">
        <f>Sheet3!F37</f>
        <v>2632.94</v>
      </c>
      <c r="G35" s="2">
        <f>Sheet3!G37</f>
        <v>2601.2399999999998</v>
      </c>
    </row>
    <row r="36" spans="2:7">
      <c r="B36" t="str">
        <f>Sheet3!B38</f>
        <v>Capital Work-In-Progress</v>
      </c>
      <c r="C36" s="2">
        <f>Sheet3!C38</f>
        <v>3329.97</v>
      </c>
      <c r="D36" s="2">
        <f>Sheet3!D38</f>
        <v>2442.34</v>
      </c>
      <c r="E36" s="2">
        <f>Sheet3!E38</f>
        <v>1681.47</v>
      </c>
      <c r="F36" s="2">
        <f>Sheet3!F38</f>
        <v>1077.97</v>
      </c>
      <c r="G36" s="2">
        <f>Sheet3!G38</f>
        <v>1067.79</v>
      </c>
    </row>
    <row r="37" spans="2:7">
      <c r="B37" t="str">
        <f>Sheet3!B39</f>
        <v>Other Assets</v>
      </c>
      <c r="C37" s="2">
        <f>Sheet3!C39</f>
        <v>376.56</v>
      </c>
      <c r="D37" s="2">
        <f>Sheet3!D39</f>
        <v>364.2</v>
      </c>
      <c r="E37" s="2">
        <f>Sheet3!E39</f>
        <v>352.26</v>
      </c>
      <c r="F37" s="2">
        <f>Sheet3!F39</f>
        <v>373.09</v>
      </c>
      <c r="G37" s="2">
        <f>Sheet3!G39</f>
        <v>399.89</v>
      </c>
    </row>
    <row r="38" spans="2:7">
      <c r="B38" t="str">
        <f>Sheet3!B40</f>
        <v>Fixed Assets</v>
      </c>
      <c r="C38" s="2">
        <f>Sheet3!C40</f>
        <v>25508.3</v>
      </c>
      <c r="D38" s="2">
        <f>Sheet3!D40</f>
        <v>25686.79</v>
      </c>
      <c r="E38" s="2">
        <f>Sheet3!E40</f>
        <v>25870.71</v>
      </c>
      <c r="F38" s="2">
        <f>Sheet3!F40</f>
        <v>26830.26</v>
      </c>
      <c r="G38" s="2">
        <f>Sheet3!G40</f>
        <v>21059.18</v>
      </c>
    </row>
    <row r="39" spans="2:7">
      <c r="B39" t="str">
        <f>Sheet3!B41</f>
        <v>Non-Current Investments</v>
      </c>
      <c r="C39" s="2">
        <f>Sheet3!C41</f>
        <v>12950.38</v>
      </c>
      <c r="D39" s="2">
        <f>Sheet3!D41</f>
        <v>15657.32</v>
      </c>
      <c r="E39" s="2">
        <f>Sheet3!E41</f>
        <v>16363.55</v>
      </c>
      <c r="F39" s="2">
        <f>Sheet3!F41</f>
        <v>22821.94</v>
      </c>
      <c r="G39" s="2">
        <f>Sheet3!G41</f>
        <v>20701.169999999998</v>
      </c>
    </row>
    <row r="40" spans="2:7">
      <c r="B40" t="str">
        <f>Sheet3!B42</f>
        <v>Deferred Tax Assets [Net]</v>
      </c>
      <c r="C40" s="2">
        <f>Sheet3!C42</f>
        <v>0</v>
      </c>
      <c r="D40" s="2">
        <f>Sheet3!D42</f>
        <v>0</v>
      </c>
      <c r="E40" s="2">
        <f>Sheet3!E42</f>
        <v>0</v>
      </c>
      <c r="F40" s="2">
        <f>Sheet3!F42</f>
        <v>0</v>
      </c>
      <c r="G40" s="2">
        <f>Sheet3!G42</f>
        <v>0</v>
      </c>
    </row>
    <row r="41" spans="2:7">
      <c r="B41" t="str">
        <f>Sheet3!B43</f>
        <v>Long Term Loans And Advances</v>
      </c>
      <c r="C41" s="2">
        <f>Sheet3!C43</f>
        <v>2.37</v>
      </c>
      <c r="D41" s="2">
        <f>Sheet3!D43</f>
        <v>5.0599999999999996</v>
      </c>
      <c r="E41" s="2">
        <f>Sheet3!E43</f>
        <v>4.07</v>
      </c>
      <c r="F41" s="2">
        <f>Sheet3!F43</f>
        <v>2.63</v>
      </c>
      <c r="G41" s="2">
        <f>Sheet3!G43</f>
        <v>6.28</v>
      </c>
    </row>
    <row r="42" spans="2:7">
      <c r="B42" t="str">
        <f>Sheet3!B44</f>
        <v>Other Non-Current Assets</v>
      </c>
      <c r="C42" s="2">
        <f>Sheet3!C44</f>
        <v>1304.07</v>
      </c>
      <c r="D42" s="2">
        <f>Sheet3!D44</f>
        <v>2801.32</v>
      </c>
      <c r="E42" s="2">
        <f>Sheet3!E44</f>
        <v>4819.97</v>
      </c>
      <c r="F42" s="2">
        <f>Sheet3!F44</f>
        <v>1602.1</v>
      </c>
      <c r="G42" s="2">
        <f>Sheet3!G44</f>
        <v>2486.63</v>
      </c>
    </row>
    <row r="43" spans="2:7">
      <c r="B43" t="s">
        <v>200</v>
      </c>
      <c r="C43" s="2">
        <f>SUM(C34:C42)</f>
        <v>65269.920000000006</v>
      </c>
      <c r="D43" s="2">
        <f t="shared" ref="D43:G43" si="4">SUM(D34:D42)</f>
        <v>69813.440000000002</v>
      </c>
      <c r="E43" s="2">
        <f t="shared" si="4"/>
        <v>72913.88</v>
      </c>
      <c r="F43" s="2">
        <f t="shared" si="4"/>
        <v>78078.12000000001</v>
      </c>
      <c r="G43" s="2">
        <f t="shared" si="4"/>
        <v>65309.529999999992</v>
      </c>
    </row>
    <row r="44" spans="2:7">
      <c r="B44" s="2" t="str">
        <f>Sheet1!B28</f>
        <v>Depreciation And Amortisation Expenses</v>
      </c>
      <c r="C44" s="2">
        <f>Sheet1!C28</f>
        <v>1561.83</v>
      </c>
      <c r="D44" s="2">
        <f>Sheet1!D28</f>
        <v>1652.15</v>
      </c>
      <c r="E44" s="2">
        <f>Sheet1!E28</f>
        <v>1662.73</v>
      </c>
      <c r="F44" s="2">
        <f>Sheet1!F28</f>
        <v>1647.82</v>
      </c>
      <c r="G44" s="2">
        <f>Sheet1!G28</f>
        <v>1441.93</v>
      </c>
    </row>
    <row r="46" spans="2:7">
      <c r="B46" t="s">
        <v>201</v>
      </c>
      <c r="C46" s="2">
        <f>C43-C44</f>
        <v>63708.090000000004</v>
      </c>
      <c r="D46" s="2">
        <f t="shared" ref="D46:G46" si="5">D43-D44</f>
        <v>68161.290000000008</v>
      </c>
      <c r="E46" s="2">
        <f t="shared" si="5"/>
        <v>71251.150000000009</v>
      </c>
      <c r="F46" s="2">
        <f t="shared" si="5"/>
        <v>76430.3</v>
      </c>
      <c r="G46" s="2">
        <f t="shared" si="5"/>
        <v>63867.599999999991</v>
      </c>
    </row>
    <row r="47" spans="2:7">
      <c r="C47" s="2"/>
    </row>
    <row r="48" spans="2:7">
      <c r="B48" t="s">
        <v>202</v>
      </c>
      <c r="C48" s="2">
        <f>SUM(C46,C31)</f>
        <v>81347.850000000006</v>
      </c>
      <c r="D48" s="2">
        <f t="shared" ref="D48:G48" si="6">SUM(D46,D31)</f>
        <v>83747.27</v>
      </c>
      <c r="E48" s="2">
        <f t="shared" si="6"/>
        <v>90207.710000000021</v>
      </c>
      <c r="F48" s="2">
        <f t="shared" si="6"/>
        <v>93867.670000000013</v>
      </c>
      <c r="G48" s="2">
        <f t="shared" si="6"/>
        <v>87317.01999999999</v>
      </c>
    </row>
    <row r="49" spans="2:7">
      <c r="B49" t="s">
        <v>203</v>
      </c>
      <c r="C49" s="2">
        <f>Sheet2!C30</f>
        <v>16311.5</v>
      </c>
      <c r="D49" s="2">
        <f>Sheet2!D30</f>
        <v>18660.550000000003</v>
      </c>
      <c r="E49" s="2">
        <f>Sheet2!E30</f>
        <v>23909.46</v>
      </c>
      <c r="F49" s="2">
        <f>Sheet2!F30</f>
        <v>25339.270000000004</v>
      </c>
      <c r="G49" s="2">
        <f>Sheet2!G30</f>
        <v>24625.190000000006</v>
      </c>
    </row>
    <row r="51" spans="2:7">
      <c r="B51" t="s">
        <v>204</v>
      </c>
      <c r="C51">
        <f>C48/C49</f>
        <v>4.98714710480336</v>
      </c>
      <c r="D51">
        <f t="shared" ref="D51:G51" si="7">D48/D49</f>
        <v>4.487931491837057</v>
      </c>
      <c r="E51">
        <f t="shared" si="7"/>
        <v>3.772887802568524</v>
      </c>
      <c r="F51">
        <f t="shared" si="7"/>
        <v>3.7044346581412961</v>
      </c>
      <c r="G51">
        <f t="shared" si="7"/>
        <v>3.5458414737104555</v>
      </c>
    </row>
    <row r="54" spans="2:7">
      <c r="B54" s="55" t="s">
        <v>205</v>
      </c>
      <c r="C54" s="55"/>
      <c r="D54" s="55"/>
      <c r="E54" s="55"/>
      <c r="F54" s="55"/>
      <c r="G54" s="55"/>
    </row>
    <row r="55" spans="2:7" ht="15" thickBot="1"/>
    <row r="56" spans="2:7" ht="15" thickBot="1">
      <c r="B56" s="40" t="s">
        <v>193</v>
      </c>
      <c r="C56" s="40">
        <v>2021</v>
      </c>
      <c r="D56" s="40">
        <f>C56+1</f>
        <v>2022</v>
      </c>
      <c r="E56" s="40">
        <f t="shared" ref="E56:G56" si="8">D56+1</f>
        <v>2023</v>
      </c>
      <c r="F56" s="40">
        <f t="shared" si="8"/>
        <v>2024</v>
      </c>
      <c r="G56" s="40">
        <f t="shared" si="8"/>
        <v>2025</v>
      </c>
    </row>
    <row r="58" spans="2:7">
      <c r="B58" t="s">
        <v>206</v>
      </c>
      <c r="C58" s="13">
        <f>SUM(Sheet1!J69:J70)</f>
        <v>-1834</v>
      </c>
      <c r="D58" s="13">
        <f>SUM(Sheet1!K69:K70)</f>
        <v>-2009</v>
      </c>
      <c r="E58" s="13">
        <f>SUM(Sheet1!L69:L70)</f>
        <v>-2694</v>
      </c>
      <c r="F58" s="13">
        <f>SUM(Sheet1!M69:M70)</f>
        <v>-3456</v>
      </c>
      <c r="G58" s="13">
        <f>SUM(Sheet1!N69:N70)</f>
        <v>-2104</v>
      </c>
    </row>
    <row r="59" spans="2:7">
      <c r="B59" t="s">
        <v>233</v>
      </c>
      <c r="D59" s="13">
        <f>D58-C58</f>
        <v>-175</v>
      </c>
      <c r="E59" s="13">
        <f t="shared" ref="E59:G59" si="9">E58-D58</f>
        <v>-685</v>
      </c>
      <c r="F59" s="13">
        <f t="shared" si="9"/>
        <v>-762</v>
      </c>
      <c r="G59" s="13">
        <f t="shared" si="9"/>
        <v>1352</v>
      </c>
    </row>
    <row r="60" spans="2:7" ht="15" thickBot="1"/>
    <row r="61" spans="2:7" ht="15" thickBot="1">
      <c r="B61" s="41" t="s">
        <v>203</v>
      </c>
      <c r="C61" s="2">
        <f>Sheet2!C30</f>
        <v>16311.5</v>
      </c>
      <c r="D61" s="2">
        <f>Sheet2!D30</f>
        <v>18660.550000000003</v>
      </c>
      <c r="E61" s="2">
        <f>Sheet2!E30</f>
        <v>23909.46</v>
      </c>
      <c r="F61" s="2">
        <f>Sheet2!F30</f>
        <v>25339.270000000004</v>
      </c>
      <c r="G61" s="2">
        <f>Sheet2!G30</f>
        <v>24625.190000000006</v>
      </c>
    </row>
    <row r="62" spans="2:7" ht="15" thickBot="1">
      <c r="B62" s="41" t="s">
        <v>234</v>
      </c>
      <c r="C62" s="15">
        <v>0.25</v>
      </c>
      <c r="D62" s="15">
        <v>0.25</v>
      </c>
      <c r="E62" s="15">
        <v>0.25</v>
      </c>
      <c r="F62" s="15">
        <v>0.25</v>
      </c>
      <c r="G62" s="15">
        <v>0.25</v>
      </c>
    </row>
    <row r="63" spans="2:7" ht="15" thickBot="1">
      <c r="B63" s="41" t="s">
        <v>235</v>
      </c>
      <c r="C63" s="2">
        <f>C61*(1-C62)</f>
        <v>12233.625</v>
      </c>
      <c r="D63" s="2">
        <f t="shared" ref="D63:G63" si="10">D61*(1-D62)</f>
        <v>13995.412500000002</v>
      </c>
      <c r="E63" s="2">
        <f t="shared" si="10"/>
        <v>17932.095000000001</v>
      </c>
      <c r="F63" s="2">
        <f t="shared" si="10"/>
        <v>19004.452500000003</v>
      </c>
      <c r="G63" s="2">
        <f t="shared" si="10"/>
        <v>18468.892500000005</v>
      </c>
    </row>
    <row r="64" spans="2:7" ht="15" thickBot="1">
      <c r="B64" s="41"/>
    </row>
    <row r="65" spans="2:7" ht="15" thickBot="1">
      <c r="B65" s="41" t="s">
        <v>236</v>
      </c>
      <c r="C65" s="13">
        <f>SUM(C58:C59)</f>
        <v>-1834</v>
      </c>
      <c r="D65" s="13">
        <f t="shared" ref="D65:G65" si="11">SUM(D58:D59)</f>
        <v>-2184</v>
      </c>
      <c r="E65" s="13">
        <f t="shared" si="11"/>
        <v>-3379</v>
      </c>
      <c r="F65" s="13">
        <f t="shared" si="11"/>
        <v>-4218</v>
      </c>
      <c r="G65" s="13">
        <f t="shared" si="11"/>
        <v>-752</v>
      </c>
    </row>
    <row r="66" spans="2:7" ht="15" thickBot="1">
      <c r="B66" s="42" t="s">
        <v>237</v>
      </c>
      <c r="C66">
        <f>C65/C63</f>
        <v>-0.14991468187066384</v>
      </c>
      <c r="D66">
        <f t="shared" ref="D66:G66" si="12">D65/D63</f>
        <v>-0.15605113461285972</v>
      </c>
      <c r="E66">
        <f t="shared" si="12"/>
        <v>-0.1884330860393055</v>
      </c>
      <c r="F66">
        <f t="shared" si="12"/>
        <v>-0.22194798824117659</v>
      </c>
      <c r="G66">
        <f t="shared" si="12"/>
        <v>-4.0717113925483064E-2</v>
      </c>
    </row>
    <row r="68" spans="2:7">
      <c r="B68" t="s">
        <v>238</v>
      </c>
      <c r="C68">
        <f>AVERAGE(C66:G66)</f>
        <v>-0.15141280093789772</v>
      </c>
    </row>
    <row r="69" spans="2:7">
      <c r="B69" t="s">
        <v>239</v>
      </c>
      <c r="C69">
        <f>MEDIAN(C66:G66)</f>
        <v>-0.15605113461285972</v>
      </c>
    </row>
    <row r="71" spans="2:7" ht="15" thickBot="1">
      <c r="B71" s="55" t="s">
        <v>240</v>
      </c>
      <c r="C71" s="55"/>
      <c r="D71" s="55"/>
      <c r="E71" s="55"/>
      <c r="F71" s="55"/>
      <c r="G71" s="55"/>
    </row>
    <row r="72" spans="2:7" ht="15" thickBot="1">
      <c r="B72" s="40" t="s">
        <v>193</v>
      </c>
      <c r="C72">
        <v>2021</v>
      </c>
      <c r="D72">
        <f>C72+1</f>
        <v>2022</v>
      </c>
      <c r="E72">
        <f t="shared" ref="E72:G72" si="13">D72+1</f>
        <v>2023</v>
      </c>
      <c r="F72">
        <f t="shared" si="13"/>
        <v>2024</v>
      </c>
      <c r="G72">
        <f t="shared" si="13"/>
        <v>2025</v>
      </c>
    </row>
    <row r="73" spans="2:7" ht="15" thickBot="1">
      <c r="B73" s="41"/>
    </row>
    <row r="74" spans="2:7" ht="15" thickBot="1">
      <c r="B74" s="41" t="s">
        <v>241</v>
      </c>
      <c r="C74">
        <f>C66</f>
        <v>-0.14991468187066384</v>
      </c>
      <c r="D74">
        <f t="shared" ref="D74:G74" si="14">D66</f>
        <v>-0.15605113461285972</v>
      </c>
      <c r="E74">
        <f t="shared" si="14"/>
        <v>-0.1884330860393055</v>
      </c>
      <c r="F74">
        <f t="shared" si="14"/>
        <v>-0.22194798824117659</v>
      </c>
      <c r="G74">
        <f t="shared" si="14"/>
        <v>-4.0717113925483064E-2</v>
      </c>
    </row>
    <row r="75" spans="2:7" ht="15" thickBot="1">
      <c r="B75" s="41" t="str">
        <f>B51</f>
        <v>Return on Invested Capital (ROIC)</v>
      </c>
      <c r="C75">
        <f>C51</f>
        <v>4.98714710480336</v>
      </c>
      <c r="D75">
        <f t="shared" ref="D75:G75" si="15">D51</f>
        <v>4.487931491837057</v>
      </c>
      <c r="E75">
        <f t="shared" si="15"/>
        <v>3.772887802568524</v>
      </c>
      <c r="F75">
        <f t="shared" si="15"/>
        <v>3.7044346581412961</v>
      </c>
      <c r="G75">
        <f t="shared" si="15"/>
        <v>3.5458414737104555</v>
      </c>
    </row>
    <row r="76" spans="2:7" ht="15" thickBot="1">
      <c r="B76" s="41"/>
    </row>
    <row r="77" spans="2:7" ht="15" thickBot="1">
      <c r="B77" s="39" t="s">
        <v>242</v>
      </c>
      <c r="C77">
        <f>C74*C75</f>
        <v>-0.74764657165879789</v>
      </c>
      <c r="D77">
        <f t="shared" ref="D77:G77" si="16">D74*D75</f>
        <v>-0.70034680136595695</v>
      </c>
      <c r="E77">
        <f t="shared" si="16"/>
        <v>-0.71093689191804099</v>
      </c>
      <c r="F77">
        <f t="shared" si="16"/>
        <v>-0.8221918199453514</v>
      </c>
      <c r="G77">
        <f t="shared" si="16"/>
        <v>-0.14437643124677138</v>
      </c>
    </row>
    <row r="79" spans="2:7">
      <c r="B79" t="s">
        <v>238</v>
      </c>
      <c r="C79">
        <f>AVERAGE(C77:G77)</f>
        <v>-0.62509970322698372</v>
      </c>
    </row>
    <row r="80" spans="2:7">
      <c r="B80" t="s">
        <v>243</v>
      </c>
      <c r="C80">
        <f>MEDIAN(C77:G77)</f>
        <v>-0.71093689191804099</v>
      </c>
    </row>
  </sheetData>
  <mergeCells count="3">
    <mergeCell ref="B13:G13"/>
    <mergeCell ref="B54:G54"/>
    <mergeCell ref="B71:G71"/>
  </mergeCells>
  <pageMargins left="0.7" right="0.7" top="0.75" bottom="0.75" header="0.3" footer="0.3"/>
  <ignoredErrors>
    <ignoredError sqref="C58:G58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2:N63"/>
  <sheetViews>
    <sheetView topLeftCell="C28" workbookViewId="0">
      <selection activeCell="I34" sqref="I34"/>
    </sheetView>
  </sheetViews>
  <sheetFormatPr defaultRowHeight="14.5"/>
  <cols>
    <col min="2" max="2" width="23.26953125" bestFit="1" customWidth="1"/>
    <col min="3" max="3" width="25.6328125" bestFit="1" customWidth="1"/>
    <col min="4" max="8" width="13.81640625" bestFit="1" customWidth="1"/>
    <col min="12" max="12" width="14.08984375" bestFit="1" customWidth="1"/>
  </cols>
  <sheetData>
    <row r="12" spans="2:8">
      <c r="B12" s="55" t="s">
        <v>244</v>
      </c>
      <c r="C12" s="55"/>
      <c r="D12" s="55"/>
      <c r="E12" s="55"/>
      <c r="F12" s="55"/>
      <c r="G12" s="55"/>
      <c r="H12" s="55"/>
    </row>
    <row r="13" spans="2:8" ht="15" thickBot="1"/>
    <row r="14" spans="2:8" ht="15" thickBot="1">
      <c r="B14" s="39" t="s">
        <v>193</v>
      </c>
      <c r="C14" s="43">
        <v>2025</v>
      </c>
      <c r="D14" s="44">
        <f>C14+1</f>
        <v>2026</v>
      </c>
      <c r="E14" s="44">
        <f t="shared" ref="E14:H14" si="0">D14+1</f>
        <v>2027</v>
      </c>
      <c r="F14" s="44">
        <f t="shared" si="0"/>
        <v>2028</v>
      </c>
      <c r="G14" s="44">
        <f t="shared" si="0"/>
        <v>2029</v>
      </c>
      <c r="H14" s="44">
        <f t="shared" si="0"/>
        <v>2030</v>
      </c>
    </row>
    <row r="15" spans="2:8" ht="15" thickBot="1"/>
    <row r="16" spans="2:8" ht="15" thickBot="1">
      <c r="B16" s="41" t="s">
        <v>203</v>
      </c>
      <c r="C16" s="2">
        <f>Sheet2!C30</f>
        <v>16311.5</v>
      </c>
      <c r="D16">
        <f>C16*(1+$C$31)</f>
        <v>20226.259999999998</v>
      </c>
      <c r="E16">
        <f t="shared" ref="E16:H16" si="1">D16*(1+$C$31)</f>
        <v>25080.562399999999</v>
      </c>
      <c r="F16">
        <f t="shared" si="1"/>
        <v>31099.897375999997</v>
      </c>
      <c r="G16">
        <f t="shared" si="1"/>
        <v>38563.872746239998</v>
      </c>
      <c r="H16">
        <f t="shared" si="1"/>
        <v>47819.202205337599</v>
      </c>
    </row>
    <row r="17" spans="2:8" ht="15" thickBot="1">
      <c r="B17" s="41"/>
    </row>
    <row r="18" spans="2:8" ht="15" thickBot="1">
      <c r="B18" s="41" t="s">
        <v>245</v>
      </c>
      <c r="C18" s="15">
        <v>0.25</v>
      </c>
      <c r="D18" s="15">
        <v>0.25</v>
      </c>
      <c r="E18" s="15">
        <v>0.25</v>
      </c>
      <c r="F18" s="15">
        <v>0.25</v>
      </c>
      <c r="G18" s="15">
        <v>0.25</v>
      </c>
      <c r="H18" s="15">
        <v>0.25</v>
      </c>
    </row>
    <row r="19" spans="2:8" ht="15" thickBot="1">
      <c r="B19" s="41"/>
    </row>
    <row r="20" spans="2:8" ht="15" thickBot="1">
      <c r="B20" s="41" t="s">
        <v>246</v>
      </c>
      <c r="C20">
        <f>C16*(1-C18)</f>
        <v>12233.625</v>
      </c>
      <c r="D20">
        <f t="shared" ref="D20:H20" si="2">D16*(1-D18)</f>
        <v>15169.695</v>
      </c>
      <c r="E20">
        <f t="shared" si="2"/>
        <v>18810.4218</v>
      </c>
      <c r="F20">
        <f t="shared" si="2"/>
        <v>23324.923031999999</v>
      </c>
      <c r="G20">
        <f t="shared" si="2"/>
        <v>28922.904559679999</v>
      </c>
      <c r="H20">
        <f t="shared" si="2"/>
        <v>35864.401654003203</v>
      </c>
    </row>
    <row r="21" spans="2:8" ht="15" thickBot="1">
      <c r="B21" s="41"/>
    </row>
    <row r="22" spans="2:8" ht="15" thickBot="1">
      <c r="B22" s="41" t="s">
        <v>247</v>
      </c>
      <c r="C22">
        <f>Sheet6!C69</f>
        <v>-0.15605113461285972</v>
      </c>
      <c r="D22">
        <f>C22+((H22-C22)/4)</f>
        <v>4.9636649040355196E-2</v>
      </c>
      <c r="E22">
        <f t="shared" ref="E22:G22" si="3">D22+((I22-D22)/4)</f>
        <v>3.7227486780266397E-2</v>
      </c>
      <c r="F22">
        <f t="shared" si="3"/>
        <v>2.7920615085199798E-2</v>
      </c>
      <c r="G22">
        <f t="shared" si="3"/>
        <v>2.0940461313899848E-2</v>
      </c>
      <c r="H22" s="48">
        <v>0.66669999999999996</v>
      </c>
    </row>
    <row r="23" spans="2:8" ht="15" thickBot="1">
      <c r="B23" s="41"/>
    </row>
    <row r="24" spans="2:8" ht="15" thickBot="1">
      <c r="B24" s="42" t="s">
        <v>248</v>
      </c>
      <c r="C24">
        <f>C20*(1-C22)</f>
        <v>14142.696061678245</v>
      </c>
      <c r="D24">
        <f t="shared" ref="D24:H24" si="4">D20*(1-D22)</f>
        <v>14416.722173235768</v>
      </c>
      <c r="E24">
        <f t="shared" si="4"/>
        <v>18110.157071109265</v>
      </c>
      <c r="F24">
        <f t="shared" si="4"/>
        <v>22673.676834131616</v>
      </c>
      <c r="G24">
        <f t="shared" si="4"/>
        <v>28317.245595662404</v>
      </c>
      <c r="H24">
        <f t="shared" si="4"/>
        <v>11953.605071279269</v>
      </c>
    </row>
    <row r="25" spans="2:8" ht="15" thickBot="1">
      <c r="B25" s="41" t="s">
        <v>249</v>
      </c>
      <c r="C25">
        <v>0.5</v>
      </c>
      <c r="D25">
        <f>C25+1</f>
        <v>1.5</v>
      </c>
      <c r="E25">
        <f t="shared" ref="E25:H25" si="5">D25+1</f>
        <v>2.5</v>
      </c>
      <c r="F25">
        <f t="shared" si="5"/>
        <v>3.5</v>
      </c>
      <c r="G25">
        <f t="shared" si="5"/>
        <v>4.5</v>
      </c>
      <c r="H25">
        <f t="shared" si="5"/>
        <v>5.5</v>
      </c>
    </row>
    <row r="26" spans="2:8" ht="15" thickBot="1">
      <c r="B26" s="41" t="s">
        <v>250</v>
      </c>
    </row>
    <row r="29" spans="2:8">
      <c r="B29" s="55" t="s">
        <v>251</v>
      </c>
      <c r="C29" s="55"/>
    </row>
    <row r="30" spans="2:8" ht="15" thickBot="1"/>
    <row r="31" spans="2:8" ht="15" thickBot="1">
      <c r="B31" s="39" t="s">
        <v>252</v>
      </c>
      <c r="C31" s="45">
        <v>0.24</v>
      </c>
    </row>
    <row r="32" spans="2:8" ht="15" thickBot="1">
      <c r="B32" s="39" t="s">
        <v>253</v>
      </c>
      <c r="C32" s="46">
        <v>6.5000000000000002E-2</v>
      </c>
    </row>
    <row r="33" spans="2:14" ht="15" thickBot="1">
      <c r="B33" s="39" t="s">
        <v>254</v>
      </c>
      <c r="C33" s="47">
        <v>1.1768000000000001E-2</v>
      </c>
    </row>
    <row r="36" spans="2:14">
      <c r="B36" s="55" t="s">
        <v>244</v>
      </c>
      <c r="C36" s="55"/>
      <c r="D36" s="55"/>
      <c r="E36" s="55"/>
      <c r="F36" s="55"/>
      <c r="G36" s="55"/>
      <c r="H36" s="55"/>
    </row>
    <row r="37" spans="2:14" ht="15" thickBot="1"/>
    <row r="38" spans="2:14" ht="15" thickBot="1">
      <c r="B38" s="41" t="s">
        <v>193</v>
      </c>
    </row>
    <row r="39" spans="2:14" ht="15" thickBot="1">
      <c r="B39" s="41"/>
    </row>
    <row r="40" spans="2:14" ht="15" thickBot="1">
      <c r="B40" s="41" t="s">
        <v>255</v>
      </c>
      <c r="C40">
        <f>H24*(1+C31)</f>
        <v>14822.470288386294</v>
      </c>
      <c r="J40" s="79">
        <f>C45</f>
        <v>-278450.37361711555</v>
      </c>
      <c r="K40" s="41">
        <v>1.1499999999999999</v>
      </c>
      <c r="L40" s="41">
        <v>1.1599999999999999</v>
      </c>
      <c r="M40" s="41">
        <v>1.17</v>
      </c>
      <c r="N40" s="41">
        <v>1.18</v>
      </c>
    </row>
    <row r="41" spans="2:14" ht="15" thickBot="1">
      <c r="B41" s="41" t="s">
        <v>256</v>
      </c>
      <c r="C41" s="48">
        <f>C33</f>
        <v>1.1768000000000001E-2</v>
      </c>
      <c r="J41" s="80">
        <v>0.03</v>
      </c>
      <c r="K41" s="41">
        <f t="dataTable" ref="K41:N45" dt2D="1" dtr="1" r1="C41" r2="C42"/>
        <v>13234.348471773477</v>
      </c>
      <c r="L41" s="41">
        <v>13117.230343704687</v>
      </c>
      <c r="M41" s="41">
        <v>13002.1669196371</v>
      </c>
      <c r="N41" s="41">
        <v>12889.104598596778</v>
      </c>
    </row>
    <row r="42" spans="2:14" ht="15" thickBot="1">
      <c r="B42" s="41" t="s">
        <v>257</v>
      </c>
      <c r="C42" s="49">
        <f>C32</f>
        <v>6.5000000000000002E-2</v>
      </c>
      <c r="J42" s="80">
        <v>0.04</v>
      </c>
      <c r="K42" s="41">
        <v>13353.576836384051</v>
      </c>
      <c r="L42" s="41">
        <v>13234.348471773477</v>
      </c>
      <c r="M42" s="41">
        <v>13117.230343704687</v>
      </c>
      <c r="N42" s="41">
        <v>13002.1669196371</v>
      </c>
    </row>
    <row r="43" spans="2:14" ht="15" thickBot="1">
      <c r="J43" s="80">
        <v>0.05</v>
      </c>
      <c r="K43" s="41">
        <v>13474.972989442087</v>
      </c>
      <c r="L43" s="41">
        <v>13353.576836384051</v>
      </c>
      <c r="M43" s="41">
        <v>13234.348471773477</v>
      </c>
      <c r="N43" s="41">
        <v>13117.230343704687</v>
      </c>
    </row>
    <row r="44" spans="2:14" ht="15" thickBot="1">
      <c r="J44" s="45">
        <v>6.5000000000000002E-2</v>
      </c>
      <c r="K44" s="41">
        <v>13661.262938604879</v>
      </c>
      <c r="L44" s="41">
        <v>13536.502546471502</v>
      </c>
      <c r="M44" s="41">
        <v>13414.000260983072</v>
      </c>
      <c r="N44" s="81">
        <v>13293.695325906991</v>
      </c>
    </row>
    <row r="45" spans="2:14" ht="15" thickBot="1">
      <c r="B45" t="s">
        <v>258</v>
      </c>
      <c r="C45">
        <f>C40/(C41-C42)</f>
        <v>-278450.37361711555</v>
      </c>
      <c r="J45" s="80">
        <v>7.0000000000000007E-2</v>
      </c>
      <c r="K45" s="41">
        <v>13724.509526283608</v>
      </c>
      <c r="L45" s="41">
        <v>13598.596594849812</v>
      </c>
      <c r="M45" s="41">
        <v>13474.972989442087</v>
      </c>
      <c r="N45" s="41">
        <v>13353.576836384051</v>
      </c>
    </row>
    <row r="48" spans="2:14">
      <c r="B48" s="55" t="s">
        <v>259</v>
      </c>
      <c r="C48" s="55"/>
      <c r="D48" s="55"/>
      <c r="E48" s="55"/>
      <c r="F48" s="55"/>
      <c r="G48" s="55"/>
      <c r="H48" s="55"/>
    </row>
    <row r="49" spans="2:3" ht="15" thickBot="1"/>
    <row r="50" spans="2:3" ht="15" thickBot="1">
      <c r="B50" s="41" t="s">
        <v>260</v>
      </c>
      <c r="C50">
        <f>SUM(H24)</f>
        <v>11953.605071279269</v>
      </c>
    </row>
    <row r="51" spans="2:3" ht="15" thickBot="1">
      <c r="B51" s="41" t="s">
        <v>261</v>
      </c>
      <c r="C51">
        <f>1/(1+$C$33)^D25</f>
        <v>0.98260414254207162</v>
      </c>
    </row>
    <row r="52" spans="2:3" ht="15" thickBot="1">
      <c r="B52" s="50" t="s">
        <v>262</v>
      </c>
      <c r="C52">
        <f>SUM(C50:C51)</f>
        <v>11954.587675421812</v>
      </c>
    </row>
    <row r="53" spans="2:3" ht="15" thickBot="1">
      <c r="B53" s="41"/>
    </row>
    <row r="54" spans="2:3" ht="15" thickBot="1">
      <c r="B54" s="41" t="s">
        <v>263</v>
      </c>
      <c r="C54" s="2">
        <f>Sheet3!G50</f>
        <v>3184.38</v>
      </c>
    </row>
    <row r="55" spans="2:3" ht="15" thickBot="1">
      <c r="B55" s="41" t="s">
        <v>264</v>
      </c>
      <c r="C55">
        <f>SUM(Sheet3!C22,Sheet3!C28)</f>
        <v>5.63</v>
      </c>
    </row>
    <row r="56" spans="2:3" ht="15" thickBot="1">
      <c r="B56" s="41"/>
    </row>
    <row r="57" spans="2:3" ht="15" thickBot="1">
      <c r="B57" s="51" t="s">
        <v>265</v>
      </c>
      <c r="C57" s="2">
        <f>SUM(C52,C54)-C55</f>
        <v>15133.337675421813</v>
      </c>
    </row>
    <row r="58" spans="2:3" ht="15" thickBot="1">
      <c r="B58" s="51" t="s">
        <v>266</v>
      </c>
      <c r="C58" s="20">
        <v>12493164557</v>
      </c>
    </row>
    <row r="59" spans="2:3" ht="15" thickBot="1">
      <c r="B59" s="51"/>
    </row>
    <row r="60" spans="2:3" ht="15" thickBot="1">
      <c r="B60" s="39" t="s">
        <v>267</v>
      </c>
      <c r="C60" s="52">
        <f>C57/C58</f>
        <v>1.2113294118856784E-6</v>
      </c>
    </row>
    <row r="61" spans="2:3" ht="15" thickBot="1">
      <c r="B61" s="41"/>
    </row>
    <row r="62" spans="2:3" ht="15" thickBot="1">
      <c r="B62" s="51" t="s">
        <v>268</v>
      </c>
      <c r="C62">
        <v>415</v>
      </c>
    </row>
    <row r="63" spans="2:3" ht="15" thickBot="1">
      <c r="B63" s="42" t="s">
        <v>269</v>
      </c>
      <c r="C63" s="53">
        <f>C62/C60-1</f>
        <v>342598796.59211725</v>
      </c>
    </row>
  </sheetData>
  <mergeCells count="4">
    <mergeCell ref="B12:H12"/>
    <mergeCell ref="B29:C29"/>
    <mergeCell ref="B36:H36"/>
    <mergeCell ref="B48:H4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3:Q55"/>
  <sheetViews>
    <sheetView workbookViewId="0">
      <selection activeCell="L63" sqref="L63"/>
    </sheetView>
  </sheetViews>
  <sheetFormatPr defaultRowHeight="14.5"/>
  <cols>
    <col min="2" max="2" width="33.90625" bestFit="1" customWidth="1"/>
    <col min="15" max="16" width="11.36328125" bestFit="1" customWidth="1"/>
    <col min="17" max="17" width="12.36328125" bestFit="1" customWidth="1"/>
  </cols>
  <sheetData>
    <row r="13" spans="2:17">
      <c r="B13" s="72" t="s">
        <v>299</v>
      </c>
    </row>
    <row r="14" spans="2:17" ht="16" thickBot="1">
      <c r="B14" s="73" t="s">
        <v>300</v>
      </c>
      <c r="C14" s="74"/>
      <c r="D14" s="74"/>
      <c r="E14" s="74"/>
      <c r="F14" s="74"/>
      <c r="G14" s="74"/>
      <c r="H14" s="74"/>
      <c r="I14" s="74"/>
      <c r="J14" s="74"/>
      <c r="K14" s="74"/>
    </row>
    <row r="15" spans="2:17">
      <c r="B15" s="75"/>
      <c r="C15" s="75"/>
      <c r="D15" s="75"/>
      <c r="E15" s="75"/>
      <c r="F15" s="75"/>
      <c r="G15" s="75"/>
      <c r="H15" s="75"/>
      <c r="I15" s="75"/>
      <c r="J15" s="75"/>
      <c r="K15" s="75"/>
    </row>
    <row r="16" spans="2:17" ht="15" thickBot="1">
      <c r="B16" s="56"/>
      <c r="C16" s="56"/>
      <c r="D16" s="57" t="s">
        <v>270</v>
      </c>
      <c r="E16" s="57"/>
      <c r="F16" s="57"/>
      <c r="G16" s="57"/>
      <c r="H16" s="57"/>
      <c r="I16" s="57"/>
      <c r="J16" s="56"/>
      <c r="K16" s="57" t="s">
        <v>271</v>
      </c>
      <c r="L16" s="57"/>
      <c r="M16" s="57"/>
      <c r="N16" s="56"/>
      <c r="O16" s="57" t="s">
        <v>272</v>
      </c>
      <c r="P16" s="57"/>
      <c r="Q16" s="57"/>
    </row>
    <row r="17" spans="2:17" ht="43.5">
      <c r="B17" s="58" t="s">
        <v>273</v>
      </c>
      <c r="C17" s="58" t="s">
        <v>274</v>
      </c>
      <c r="D17" s="59" t="s">
        <v>275</v>
      </c>
      <c r="E17" s="59" t="s">
        <v>276</v>
      </c>
      <c r="F17" s="59" t="s">
        <v>277</v>
      </c>
      <c r="G17" s="59" t="s">
        <v>278</v>
      </c>
      <c r="H17" s="59" t="s">
        <v>279</v>
      </c>
      <c r="I17" s="56"/>
      <c r="J17" s="56"/>
      <c r="K17" s="59" t="s">
        <v>280</v>
      </c>
      <c r="L17" s="59" t="s">
        <v>281</v>
      </c>
      <c r="M17" s="59" t="s">
        <v>282</v>
      </c>
      <c r="N17" s="56"/>
      <c r="O17" s="59" t="s">
        <v>283</v>
      </c>
      <c r="P17" s="59" t="s">
        <v>284</v>
      </c>
      <c r="Q17" s="59" t="s">
        <v>285</v>
      </c>
    </row>
    <row r="19" spans="2:17">
      <c r="B19" t="str">
        <f>Sheet9!C4</f>
        <v>ITC</v>
      </c>
      <c r="D19">
        <f>Sheet9!D4</f>
        <v>415</v>
      </c>
      <c r="E19">
        <f>Sheet9!E4</f>
        <v>1252.3599999999999</v>
      </c>
      <c r="F19">
        <f>D19*E19</f>
        <v>519729.39999999997</v>
      </c>
      <c r="G19">
        <f>Sheet9!I4</f>
        <v>-3727.82</v>
      </c>
      <c r="H19">
        <f>SUM(F19:G19)</f>
        <v>516001.57999999996</v>
      </c>
      <c r="K19">
        <f>Sheet9!K4</f>
        <v>79040.320000000007</v>
      </c>
      <c r="M19">
        <f>Sheet9!M4</f>
        <v>35218.9</v>
      </c>
      <c r="O19" s="70">
        <f>$H19/K19</f>
        <v>6.5283336403496328</v>
      </c>
      <c r="P19" s="70">
        <f>Sheet9!L4</f>
        <v>17.82</v>
      </c>
      <c r="Q19" s="70">
        <f>F19/M19</f>
        <v>14.757116207490864</v>
      </c>
    </row>
    <row r="20" spans="2:17">
      <c r="B20" t="str">
        <f>Sheet9!C5</f>
        <v>Nestle India</v>
      </c>
      <c r="D20">
        <f>Sheet9!D5</f>
        <v>2276.5</v>
      </c>
      <c r="E20">
        <f>Sheet9!E5</f>
        <v>96.42</v>
      </c>
      <c r="F20">
        <f t="shared" ref="F20:F32" si="0">D20*E20</f>
        <v>219500.13</v>
      </c>
      <c r="G20">
        <f>Sheet9!I5</f>
        <v>1071.1999999999998</v>
      </c>
      <c r="H20">
        <f t="shared" ref="H20:H32" si="1">SUM(F20:G20)</f>
        <v>220571.33000000002</v>
      </c>
      <c r="K20">
        <f>Sheet9!K5</f>
        <v>20483.77</v>
      </c>
      <c r="M20">
        <f>Sheet9!M5</f>
        <v>3227.13</v>
      </c>
      <c r="O20" s="70">
        <f t="shared" ref="O20:O32" si="2">$H20/K20</f>
        <v>10.768102258519795</v>
      </c>
      <c r="P20" s="70">
        <f>Sheet9!L5</f>
        <v>46.11</v>
      </c>
      <c r="Q20" s="70">
        <f t="shared" ref="Q20:Q32" si="3">F20/M20</f>
        <v>68.017132870383278</v>
      </c>
    </row>
    <row r="21" spans="2:17">
      <c r="B21" t="str">
        <f>Sheet9!C6</f>
        <v>Varun Beverages</v>
      </c>
      <c r="D21">
        <f>Sheet9!D6</f>
        <v>511.9</v>
      </c>
      <c r="E21">
        <f>Sheet9!E6</f>
        <v>338.19</v>
      </c>
      <c r="F21">
        <f t="shared" si="0"/>
        <v>173119.46099999998</v>
      </c>
      <c r="G21">
        <f>Sheet9!I6</f>
        <v>-311.80000000000018</v>
      </c>
      <c r="H21">
        <f t="shared" si="1"/>
        <v>172807.66099999999</v>
      </c>
      <c r="K21">
        <f>Sheet9!K6</f>
        <v>21077.78</v>
      </c>
      <c r="M21">
        <f>Sheet9!M6</f>
        <v>2881.31</v>
      </c>
      <c r="O21" s="70">
        <f t="shared" si="2"/>
        <v>8.1985702953536848</v>
      </c>
      <c r="P21" s="70">
        <f>Sheet9!L6</f>
        <v>33.51</v>
      </c>
      <c r="Q21" s="70">
        <f t="shared" si="3"/>
        <v>60.08359426788509</v>
      </c>
    </row>
    <row r="22" spans="2:17">
      <c r="B22" t="str">
        <f>Sheet9!C7</f>
        <v>Britannia Inds.</v>
      </c>
      <c r="D22">
        <f>Sheet9!D7</f>
        <v>5798</v>
      </c>
      <c r="E22">
        <f>Sheet9!E7</f>
        <v>24.09</v>
      </c>
      <c r="F22">
        <f t="shared" si="0"/>
        <v>139673.82</v>
      </c>
      <c r="G22">
        <f>Sheet9!I7</f>
        <v>934.03</v>
      </c>
      <c r="H22">
        <f t="shared" si="1"/>
        <v>140607.85</v>
      </c>
      <c r="K22">
        <f>Sheet9!K7</f>
        <v>17942.669999999998</v>
      </c>
      <c r="M22">
        <f>Sheet9!M7</f>
        <v>2177.86</v>
      </c>
      <c r="O22" s="70">
        <f t="shared" si="2"/>
        <v>7.8365064954101049</v>
      </c>
      <c r="P22" s="70">
        <f>Sheet9!L7</f>
        <v>41.32</v>
      </c>
      <c r="Q22" s="70">
        <f t="shared" si="3"/>
        <v>64.133516387646594</v>
      </c>
    </row>
    <row r="23" spans="2:17">
      <c r="B23" t="str">
        <f>Sheet9!C8</f>
        <v>Godrej Consumer</v>
      </c>
      <c r="D23">
        <f>Sheet9!D8</f>
        <v>1266.5</v>
      </c>
      <c r="E23">
        <f>Sheet9!E8</f>
        <v>102.31</v>
      </c>
      <c r="F23">
        <f t="shared" si="0"/>
        <v>129575.61500000001</v>
      </c>
      <c r="G23">
        <f>Sheet9!I8</f>
        <v>3526.13</v>
      </c>
      <c r="H23">
        <f t="shared" si="1"/>
        <v>133101.745</v>
      </c>
      <c r="K23">
        <f>Sheet9!K8</f>
        <v>14364.29</v>
      </c>
      <c r="M23">
        <f>Sheet9!M8</f>
        <v>1852.3</v>
      </c>
      <c r="O23" s="70">
        <f t="shared" si="2"/>
        <v>9.2661555148218238</v>
      </c>
      <c r="P23" s="70">
        <f>Sheet9!L8</f>
        <v>40.44</v>
      </c>
      <c r="Q23" s="70">
        <f t="shared" si="3"/>
        <v>69.9539032554122</v>
      </c>
    </row>
    <row r="24" spans="2:17">
      <c r="B24" t="str">
        <f>Sheet9!C9</f>
        <v>Tata Consumer</v>
      </c>
      <c r="D24">
        <f>Sheet9!D9</f>
        <v>1070.4000000000001</v>
      </c>
      <c r="E24">
        <f>Sheet9!E9</f>
        <v>98.95</v>
      </c>
      <c r="F24">
        <f t="shared" si="0"/>
        <v>105916.08000000002</v>
      </c>
      <c r="G24">
        <f>Sheet9!I9</f>
        <v>-425.18000000000029</v>
      </c>
      <c r="H24">
        <f t="shared" si="1"/>
        <v>105490.90000000002</v>
      </c>
      <c r="K24">
        <f>Sheet9!K9</f>
        <v>18045.14</v>
      </c>
      <c r="M24">
        <f>Sheet9!M9</f>
        <v>1329.6</v>
      </c>
      <c r="O24" s="70">
        <f t="shared" si="2"/>
        <v>5.8459452240326222</v>
      </c>
      <c r="P24" s="70">
        <f>Sheet9!L9</f>
        <v>40.36</v>
      </c>
      <c r="Q24" s="70">
        <f t="shared" si="3"/>
        <v>79.660108303249118</v>
      </c>
    </row>
    <row r="25" spans="2:17">
      <c r="B25" t="str">
        <f>Sheet9!C10</f>
        <v>United Spirits</v>
      </c>
      <c r="D25">
        <f>Sheet9!D10</f>
        <v>1322.4</v>
      </c>
      <c r="E25">
        <f>Sheet9!E10</f>
        <v>72.739999999999995</v>
      </c>
      <c r="F25">
        <f t="shared" si="0"/>
        <v>96191.376000000004</v>
      </c>
      <c r="G25">
        <f>Sheet9!I10</f>
        <v>-1550</v>
      </c>
      <c r="H25">
        <f t="shared" si="1"/>
        <v>94641.376000000004</v>
      </c>
      <c r="K25">
        <f>Sheet9!K10</f>
        <v>12069</v>
      </c>
      <c r="M25">
        <f>Sheet9!M10</f>
        <v>1582</v>
      </c>
      <c r="O25" s="70">
        <f t="shared" si="2"/>
        <v>7.8416916065954103</v>
      </c>
      <c r="P25" s="70">
        <f>Sheet9!L10</f>
        <v>36.79</v>
      </c>
      <c r="Q25" s="70">
        <f t="shared" si="3"/>
        <v>60.803651074589133</v>
      </c>
    </row>
    <row r="26" spans="2:17">
      <c r="B26" t="str">
        <f>Sheet9!C11</f>
        <v>Dabur India</v>
      </c>
      <c r="D26">
        <f>Sheet9!D11</f>
        <v>534.35</v>
      </c>
      <c r="E26">
        <f>Sheet9!E11</f>
        <v>177.37</v>
      </c>
      <c r="F26">
        <f t="shared" si="0"/>
        <v>94777.659500000009</v>
      </c>
      <c r="G26">
        <f>Sheet9!I11</f>
        <v>372.36</v>
      </c>
      <c r="H26">
        <f t="shared" si="1"/>
        <v>95150.019500000009</v>
      </c>
      <c r="K26">
        <f>Sheet9!K11</f>
        <v>12618.56</v>
      </c>
      <c r="M26">
        <f>Sheet9!M11</f>
        <v>1754.36</v>
      </c>
      <c r="O26" s="70">
        <f t="shared" si="2"/>
        <v>7.5404816001191906</v>
      </c>
      <c r="P26" s="70">
        <f>Sheet9!L11</f>
        <v>32.880000000000003</v>
      </c>
      <c r="Q26" s="70">
        <f t="shared" si="3"/>
        <v>54.024065471168981</v>
      </c>
    </row>
    <row r="27" spans="2:17">
      <c r="B27" t="str">
        <f>Sheet9!C12</f>
        <v>Marico</v>
      </c>
      <c r="D27">
        <f>Sheet9!D12</f>
        <v>711.2</v>
      </c>
      <c r="E27">
        <f>Sheet9!E12</f>
        <v>129.78</v>
      </c>
      <c r="F27">
        <f t="shared" si="0"/>
        <v>92299.536000000007</v>
      </c>
      <c r="G27">
        <f>Sheet9!I12</f>
        <v>-223</v>
      </c>
      <c r="H27">
        <f t="shared" si="1"/>
        <v>92076.536000000007</v>
      </c>
      <c r="K27">
        <f>Sheet9!K12</f>
        <v>10831</v>
      </c>
      <c r="M27">
        <f>Sheet9!M12</f>
        <v>1658</v>
      </c>
      <c r="O27" s="70">
        <f t="shared" si="2"/>
        <v>8.5012035823100369</v>
      </c>
      <c r="P27" s="70">
        <f>Sheet9!L12</f>
        <v>39.57</v>
      </c>
      <c r="Q27" s="70">
        <f t="shared" si="3"/>
        <v>55.669201447527144</v>
      </c>
    </row>
    <row r="28" spans="2:17">
      <c r="B28" t="str">
        <f>Sheet9!C13</f>
        <v>Patanjali Foods</v>
      </c>
      <c r="D28">
        <f>Sheet9!D13</f>
        <v>1984.6</v>
      </c>
      <c r="E28">
        <f>Sheet9!E13</f>
        <v>36.25</v>
      </c>
      <c r="F28">
        <f t="shared" si="0"/>
        <v>71941.75</v>
      </c>
      <c r="G28">
        <f>Sheet9!I13</f>
        <v>512.37999999999988</v>
      </c>
      <c r="H28">
        <f t="shared" si="1"/>
        <v>72454.13</v>
      </c>
      <c r="K28">
        <f>Sheet9!K13</f>
        <v>34156.97</v>
      </c>
      <c r="M28">
        <f>Sheet9!M13</f>
        <v>1301.3399999999999</v>
      </c>
      <c r="O28" s="70">
        <f t="shared" si="2"/>
        <v>2.1212106928688348</v>
      </c>
      <c r="P28" s="70">
        <f>Sheet9!L13</f>
        <v>34.86</v>
      </c>
      <c r="Q28" s="70">
        <f t="shared" si="3"/>
        <v>55.282823858484335</v>
      </c>
    </row>
    <row r="29" spans="2:17">
      <c r="B29" t="str">
        <f>Sheet9!C14</f>
        <v>Colgate-Palmoliv</v>
      </c>
      <c r="D29">
        <f>Sheet9!D14</f>
        <v>2258</v>
      </c>
      <c r="E29">
        <f>Sheet9!E14</f>
        <v>27.2</v>
      </c>
      <c r="F29">
        <f t="shared" si="0"/>
        <v>61417.599999999999</v>
      </c>
      <c r="G29">
        <f>Sheet9!I14</f>
        <v>-1034.2900000000002</v>
      </c>
      <c r="H29">
        <f t="shared" si="1"/>
        <v>60383.31</v>
      </c>
      <c r="K29">
        <f>Sheet9!K14</f>
        <v>5977.52</v>
      </c>
      <c r="M29">
        <f>Sheet9!M14</f>
        <v>1393.45</v>
      </c>
      <c r="O29" s="70">
        <f t="shared" si="2"/>
        <v>10.101732825653448</v>
      </c>
      <c r="P29" s="70">
        <f>Sheet9!L14</f>
        <v>29.66</v>
      </c>
      <c r="Q29" s="70">
        <f t="shared" si="3"/>
        <v>44.075926656858876</v>
      </c>
    </row>
    <row r="30" spans="2:17">
      <c r="B30" t="str">
        <f>Sheet9!C15</f>
        <v>United Breweries</v>
      </c>
      <c r="D30">
        <f>Sheet9!D15</f>
        <v>1924.9</v>
      </c>
      <c r="E30">
        <f>Sheet9!E15</f>
        <v>26.44</v>
      </c>
      <c r="F30">
        <f t="shared" si="0"/>
        <v>50894.356000000007</v>
      </c>
      <c r="G30">
        <f>Sheet9!I15</f>
        <v>177.10000000000002</v>
      </c>
      <c r="H30">
        <f t="shared" si="1"/>
        <v>51071.456000000006</v>
      </c>
      <c r="K30">
        <f>Sheet9!K15</f>
        <v>9304.2800000000007</v>
      </c>
      <c r="M30">
        <f>Sheet9!M15</f>
        <v>452.64</v>
      </c>
      <c r="O30" s="70">
        <f t="shared" si="2"/>
        <v>5.4890282751593888</v>
      </c>
      <c r="P30" s="70">
        <f>Sheet9!L15</f>
        <v>56.38</v>
      </c>
      <c r="Q30" s="70">
        <f t="shared" si="3"/>
        <v>112.43892718275011</v>
      </c>
    </row>
    <row r="31" spans="2:17">
      <c r="B31" t="str">
        <f>Sheet9!C16</f>
        <v>Godfrey Phillips</v>
      </c>
      <c r="D31">
        <f>Sheet9!D16</f>
        <v>8777</v>
      </c>
      <c r="E31">
        <f>Sheet9!E16</f>
        <v>5.2</v>
      </c>
      <c r="F31">
        <f t="shared" si="0"/>
        <v>45640.4</v>
      </c>
      <c r="G31">
        <f>Sheet9!I16</f>
        <v>148.66</v>
      </c>
      <c r="H31">
        <f t="shared" si="1"/>
        <v>45789.060000000005</v>
      </c>
      <c r="K31">
        <f>Sheet9!K16</f>
        <v>5611.02</v>
      </c>
      <c r="M31">
        <f>Sheet9!M16</f>
        <v>1072.31</v>
      </c>
      <c r="O31" s="70">
        <f t="shared" si="2"/>
        <v>8.1605590427408927</v>
      </c>
      <c r="P31" s="70">
        <f>Sheet9!L16</f>
        <v>28.49</v>
      </c>
      <c r="Q31" s="70">
        <f t="shared" si="3"/>
        <v>42.562691758913004</v>
      </c>
    </row>
    <row r="32" spans="2:17">
      <c r="B32" t="str">
        <f>Sheet9!C17</f>
        <v>P &amp; G Hygiene</v>
      </c>
      <c r="D32">
        <f>Sheet9!D17</f>
        <v>13693</v>
      </c>
      <c r="E32">
        <f>Sheet9!E17</f>
        <v>3.25</v>
      </c>
      <c r="F32">
        <f t="shared" si="0"/>
        <v>44502.25</v>
      </c>
      <c r="G32">
        <f>Sheet9!I17</f>
        <v>-585.88</v>
      </c>
      <c r="H32">
        <f t="shared" si="1"/>
        <v>43916.37</v>
      </c>
      <c r="K32">
        <f>Sheet9!K17</f>
        <v>4311.45</v>
      </c>
      <c r="M32">
        <f>Sheet9!M17</f>
        <v>828.65</v>
      </c>
      <c r="O32" s="70">
        <f t="shared" si="2"/>
        <v>10.185986153150333</v>
      </c>
      <c r="P32" s="70">
        <f>Sheet9!L17</f>
        <v>37.19</v>
      </c>
      <c r="Q32" s="70">
        <f t="shared" si="3"/>
        <v>53.704519399022509</v>
      </c>
    </row>
    <row r="34" spans="2:17" ht="15" thickBot="1"/>
    <row r="35" spans="2:17" ht="15" thickBot="1">
      <c r="B35" s="63" t="s">
        <v>288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9">
        <f>MAX(O19:O32)</f>
        <v>10.768102258519795</v>
      </c>
      <c r="P35" s="69">
        <f t="shared" ref="P35:Q35" si="4">MAX(P19:P32)</f>
        <v>56.38</v>
      </c>
      <c r="Q35" s="69">
        <f t="shared" si="4"/>
        <v>112.43892718275011</v>
      </c>
    </row>
    <row r="36" spans="2:17" ht="15" thickBot="1">
      <c r="B36" s="63" t="s">
        <v>289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69">
        <f>QUARTILE(O19:O32,3)</f>
        <v>9.0749175316938775</v>
      </c>
      <c r="P36" s="69">
        <f t="shared" ref="P36:Q36" si="5">QUARTILE(P19:P32,3)</f>
        <v>40.42</v>
      </c>
      <c r="Q36" s="69">
        <f t="shared" si="5"/>
        <v>67.046228749699111</v>
      </c>
    </row>
    <row r="37" spans="2:17" ht="15" thickBot="1">
      <c r="B37" s="64" t="s">
        <v>290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69">
        <f>AVERAGE(O19:O32)</f>
        <v>7.7418219433632283</v>
      </c>
      <c r="P37" s="69">
        <f t="shared" ref="P37:Q37" si="6">AVERAGE(P19:P32)</f>
        <v>36.812857142857148</v>
      </c>
      <c r="Q37" s="69">
        <f t="shared" si="6"/>
        <v>59.654798438670092</v>
      </c>
    </row>
    <row r="38" spans="2:17" ht="15" thickBot="1">
      <c r="B38" s="64" t="s">
        <v>291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69">
        <f>MEDIAN(O19:O32)</f>
        <v>8.001125324668152</v>
      </c>
      <c r="P38" s="69">
        <f>MEDIAN(P19:P32)</f>
        <v>36.989999999999995</v>
      </c>
      <c r="Q38" s="69">
        <f>MEDIAN(Q19:Q32)</f>
        <v>57.876397857706117</v>
      </c>
    </row>
    <row r="39" spans="2:17" ht="15" thickBot="1">
      <c r="B39" s="63" t="s">
        <v>292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69">
        <f>QUARTILE(O19:O32,1)</f>
        <v>6.781370630292022</v>
      </c>
      <c r="P39" s="69">
        <f t="shared" ref="P39:Q39" si="7">QUARTILE(P19:P32,1)</f>
        <v>33.037500000000001</v>
      </c>
      <c r="Q39" s="69">
        <f t="shared" si="7"/>
        <v>53.784405917059125</v>
      </c>
    </row>
    <row r="40" spans="2:17" ht="15" thickBot="1">
      <c r="B40" s="63" t="s">
        <v>293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69">
        <f>MIN(O19:O32)</f>
        <v>2.1212106928688348</v>
      </c>
      <c r="P40" s="69">
        <f t="shared" ref="P40:Q40" si="8">MIN(P19:P32)</f>
        <v>17.82</v>
      </c>
      <c r="Q40" s="69">
        <f t="shared" si="8"/>
        <v>14.757116207490864</v>
      </c>
    </row>
    <row r="42" spans="2:17" ht="15" thickBot="1"/>
    <row r="43" spans="2:17" ht="29.5" thickBot="1">
      <c r="B43" s="65" t="s">
        <v>294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68" t="s">
        <v>283</v>
      </c>
      <c r="P43" s="68" t="s">
        <v>284</v>
      </c>
      <c r="Q43" s="68" t="s">
        <v>285</v>
      </c>
    </row>
    <row r="44" spans="2:17" ht="15" thickBot="1">
      <c r="B44" s="6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2:17" ht="15" thickBot="1">
      <c r="B45" s="67" t="s">
        <v>295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69">
        <f>O38*K19</f>
        <v>632411.50602187472</v>
      </c>
      <c r="P45" s="69">
        <f>P38*P19</f>
        <v>659.16179999999997</v>
      </c>
      <c r="Q45" s="69">
        <f>Q47+Q46</f>
        <v>0</v>
      </c>
    </row>
    <row r="46" spans="2:17" ht="15" thickBot="1">
      <c r="B46" s="66" t="s">
        <v>278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69">
        <f>$G$19</f>
        <v>-3727.82</v>
      </c>
      <c r="P46" s="69">
        <f t="shared" ref="P46:Q46" si="9">$G$19</f>
        <v>-3727.82</v>
      </c>
      <c r="Q46" s="69">
        <f t="shared" si="9"/>
        <v>-3727.82</v>
      </c>
    </row>
    <row r="47" spans="2:17" ht="15" thickBot="1">
      <c r="B47" s="67" t="s">
        <v>296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69">
        <f>O45-O46</f>
        <v>636139.32602187467</v>
      </c>
      <c r="P47" s="69">
        <f t="shared" ref="P47:Q47" si="10">P45-P46</f>
        <v>4386.9818000000005</v>
      </c>
      <c r="Q47" s="69">
        <v>3727.82</v>
      </c>
    </row>
    <row r="48" spans="2:17" ht="15" thickBot="1">
      <c r="B48" s="67" t="s">
        <v>276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69">
        <f>$E$19</f>
        <v>1252.3599999999999</v>
      </c>
      <c r="P48" s="69">
        <f t="shared" ref="P48:Q48" si="11">$E$19</f>
        <v>1252.3599999999999</v>
      </c>
      <c r="Q48" s="69">
        <f t="shared" si="11"/>
        <v>1252.3599999999999</v>
      </c>
    </row>
    <row r="49" spans="2:17" ht="15" thickBot="1">
      <c r="B49" s="6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69"/>
      <c r="P49" s="69"/>
      <c r="Q49" s="69"/>
    </row>
    <row r="50" spans="2:17" ht="15" thickBot="1">
      <c r="B50" s="65" t="s">
        <v>297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69">
        <f>O47/O48</f>
        <v>507.95244659832213</v>
      </c>
      <c r="P50" s="69">
        <f t="shared" ref="P50:Q50" si="12">P47/P48</f>
        <v>3.5029718291864964</v>
      </c>
      <c r="Q50" s="69">
        <f t="shared" si="12"/>
        <v>2.97663611102239</v>
      </c>
    </row>
    <row r="52" spans="2:17">
      <c r="O52" t="str">
        <f>IF(O50&gt;D19, "Undervalued", "Overvalued")</f>
        <v>Undervalued</v>
      </c>
      <c r="P52" t="str">
        <f t="shared" ref="P52:Q52" si="13">IF(P50&gt;E19, "Undervalued", "Overvalued")</f>
        <v>Overvalued</v>
      </c>
      <c r="Q52" t="str">
        <f t="shared" si="13"/>
        <v>Overvalued</v>
      </c>
    </row>
    <row r="55" spans="2:17">
      <c r="B55" s="71" t="s">
        <v>298</v>
      </c>
    </row>
  </sheetData>
  <mergeCells count="3">
    <mergeCell ref="D16:I16"/>
    <mergeCell ref="K16:M16"/>
    <mergeCell ref="O16:Q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O14:T20"/>
  <sheetViews>
    <sheetView tabSelected="1" topLeftCell="C8" workbookViewId="0">
      <selection activeCell="N23" sqref="N23"/>
    </sheetView>
  </sheetViews>
  <sheetFormatPr defaultRowHeight="14.5"/>
  <sheetData>
    <row r="14" spans="15:20">
      <c r="O14" s="76" t="s">
        <v>301</v>
      </c>
      <c r="P14" s="77"/>
      <c r="Q14" s="77"/>
      <c r="R14" s="77"/>
      <c r="S14" s="77"/>
      <c r="T14" s="77"/>
    </row>
    <row r="15" spans="15:20" ht="29">
      <c r="O15" s="75"/>
      <c r="P15" s="75"/>
      <c r="Q15" s="78" t="s">
        <v>302</v>
      </c>
      <c r="R15" s="78" t="s">
        <v>293</v>
      </c>
      <c r="S15" s="78" t="s">
        <v>303</v>
      </c>
      <c r="T15" s="78" t="s">
        <v>288</v>
      </c>
    </row>
    <row r="16" spans="15:20">
      <c r="O16" s="75" t="s">
        <v>304</v>
      </c>
      <c r="P16" s="75"/>
      <c r="Q16">
        <f>Sheet7!M44</f>
        <v>13414.000260983072</v>
      </c>
      <c r="R16">
        <f>Sheet7!N44</f>
        <v>13293.695325906991</v>
      </c>
      <c r="S16">
        <f>Sheet7!K44</f>
        <v>13661.262938604879</v>
      </c>
      <c r="T16">
        <f>Sheet7!L44</f>
        <v>13536.502546471502</v>
      </c>
    </row>
    <row r="17" spans="15:20">
      <c r="O17" s="75" t="s">
        <v>305</v>
      </c>
      <c r="P17" s="75"/>
      <c r="Q17">
        <f>Sheet7!N41</f>
        <v>12889.104598596778</v>
      </c>
      <c r="R17">
        <f>Q17</f>
        <v>12889.104598596778</v>
      </c>
      <c r="S17">
        <f>Sheet7!N45</f>
        <v>13353.576836384051</v>
      </c>
      <c r="T17">
        <f>S17</f>
        <v>13353.576836384051</v>
      </c>
    </row>
    <row r="18" spans="15:20">
      <c r="O18" s="75" t="s">
        <v>306</v>
      </c>
      <c r="P18" s="75"/>
      <c r="Q18">
        <f>R18</f>
        <v>13293.695325906991</v>
      </c>
      <c r="R18">
        <f>Sheet7!N44</f>
        <v>13293.695325906991</v>
      </c>
      <c r="S18">
        <f>T18</f>
        <v>13661.262938604879</v>
      </c>
      <c r="T18">
        <f>Sheet7!K44</f>
        <v>13661.262938604879</v>
      </c>
    </row>
    <row r="19" spans="15:20">
      <c r="O19" s="75" t="s">
        <v>307</v>
      </c>
      <c r="P19" s="75"/>
      <c r="Q19">
        <f>Sheet7!K41</f>
        <v>13234.348471773477</v>
      </c>
      <c r="R19">
        <f>Q19</f>
        <v>13234.348471773477</v>
      </c>
      <c r="S19">
        <f>Sheet7!K45</f>
        <v>13724.509526283608</v>
      </c>
      <c r="T19">
        <f>S19</f>
        <v>13724.509526283608</v>
      </c>
    </row>
    <row r="20" spans="15:20">
      <c r="O20" s="75" t="s">
        <v>308</v>
      </c>
      <c r="P20" s="75"/>
      <c r="Q20">
        <v>6.37</v>
      </c>
      <c r="R20">
        <f>Q20</f>
        <v>6.37</v>
      </c>
      <c r="S20">
        <v>0.84</v>
      </c>
      <c r="T20">
        <f>S20</f>
        <v>0.84</v>
      </c>
    </row>
  </sheetData>
  <pageMargins left="0.7" right="0.7" top="0.75" bottom="0.75" header="0.3" footer="0.3"/>
  <ignoredErrors>
    <ignoredError sqref="R17 S17:T17 R19:T19 R18 T18" formula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N17"/>
  <sheetViews>
    <sheetView workbookViewId="0">
      <selection activeCell="Q7" sqref="Q7"/>
    </sheetView>
  </sheetViews>
  <sheetFormatPr defaultRowHeight="14.5"/>
  <cols>
    <col min="6" max="6" width="9" bestFit="1" customWidth="1"/>
    <col min="7" max="7" width="7.90625" bestFit="1" customWidth="1"/>
  </cols>
  <sheetData>
    <row r="2" spans="2:14" ht="43.5">
      <c r="B2" s="60" t="s">
        <v>157</v>
      </c>
      <c r="C2" s="61" t="s">
        <v>158</v>
      </c>
      <c r="D2" s="62" t="s">
        <v>159</v>
      </c>
      <c r="E2" s="62" t="s">
        <v>160</v>
      </c>
      <c r="F2" s="62" t="s">
        <v>286</v>
      </c>
      <c r="G2" s="62" t="s">
        <v>161</v>
      </c>
      <c r="H2" s="62" t="s">
        <v>162</v>
      </c>
      <c r="I2" s="62" t="s">
        <v>287</v>
      </c>
      <c r="J2" s="62" t="s">
        <v>163</v>
      </c>
      <c r="K2" s="62" t="s">
        <v>164</v>
      </c>
      <c r="L2" s="62" t="s">
        <v>165</v>
      </c>
      <c r="M2" s="62" t="s">
        <v>166</v>
      </c>
      <c r="N2" s="62" t="s">
        <v>167</v>
      </c>
    </row>
    <row r="3" spans="2:14"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>
      <c r="B4" s="10">
        <v>2</v>
      </c>
      <c r="C4" s="11" t="s">
        <v>142</v>
      </c>
      <c r="D4" s="12">
        <v>415</v>
      </c>
      <c r="E4" s="12">
        <v>1252.3599999999999</v>
      </c>
      <c r="F4" s="12">
        <f>D4*E4</f>
        <v>519729.39999999997</v>
      </c>
      <c r="G4" s="12">
        <v>284.54000000000002</v>
      </c>
      <c r="H4" s="12">
        <v>4012.36</v>
      </c>
      <c r="I4" s="12">
        <f>G4-H4</f>
        <v>-3727.82</v>
      </c>
      <c r="J4" s="12">
        <v>515940.49</v>
      </c>
      <c r="K4" s="12">
        <v>79040.320000000007</v>
      </c>
      <c r="L4" s="12">
        <v>17.82</v>
      </c>
      <c r="M4" s="12">
        <v>35218.9</v>
      </c>
      <c r="N4" s="12">
        <v>519668.31</v>
      </c>
    </row>
    <row r="5" spans="2:14">
      <c r="B5" s="7">
        <v>3</v>
      </c>
      <c r="C5" s="8" t="s">
        <v>143</v>
      </c>
      <c r="D5" s="9">
        <v>2276.5</v>
      </c>
      <c r="E5" s="9">
        <v>96.42</v>
      </c>
      <c r="F5" s="12">
        <f t="shared" ref="F5:F17" si="0">D5*E5</f>
        <v>219500.13</v>
      </c>
      <c r="G5" s="9">
        <v>1166.8499999999999</v>
      </c>
      <c r="H5" s="9">
        <v>95.65</v>
      </c>
      <c r="I5" s="12">
        <f t="shared" ref="I5:I17" si="1">G5-H5</f>
        <v>1071.1999999999998</v>
      </c>
      <c r="J5" s="9">
        <v>220561.58</v>
      </c>
      <c r="K5" s="9">
        <v>20483.77</v>
      </c>
      <c r="L5" s="9">
        <v>46.11</v>
      </c>
      <c r="M5" s="9">
        <v>3227.13</v>
      </c>
      <c r="N5" s="9">
        <v>219490.38</v>
      </c>
    </row>
    <row r="6" spans="2:14">
      <c r="B6" s="10">
        <v>4</v>
      </c>
      <c r="C6" s="11" t="s">
        <v>144</v>
      </c>
      <c r="D6" s="12">
        <v>511.9</v>
      </c>
      <c r="E6" s="12">
        <v>338.19</v>
      </c>
      <c r="F6" s="12">
        <f t="shared" si="0"/>
        <v>173119.46099999998</v>
      </c>
      <c r="G6" s="12">
        <v>2138.25</v>
      </c>
      <c r="H6" s="12">
        <v>2450.0500000000002</v>
      </c>
      <c r="I6" s="12">
        <f t="shared" si="1"/>
        <v>-311.80000000000018</v>
      </c>
      <c r="J6" s="12">
        <v>173109.61</v>
      </c>
      <c r="K6" s="12">
        <v>21077.78</v>
      </c>
      <c r="L6" s="12">
        <v>33.51</v>
      </c>
      <c r="M6" s="12">
        <v>2881.31</v>
      </c>
      <c r="N6" s="12">
        <v>173120.33</v>
      </c>
    </row>
    <row r="7" spans="2:14">
      <c r="B7" s="7">
        <v>5</v>
      </c>
      <c r="C7" s="8" t="s">
        <v>145</v>
      </c>
      <c r="D7" s="9">
        <v>5798</v>
      </c>
      <c r="E7" s="9">
        <v>24.09</v>
      </c>
      <c r="F7" s="12">
        <f t="shared" si="0"/>
        <v>139673.82</v>
      </c>
      <c r="G7" s="9">
        <v>1246.51</v>
      </c>
      <c r="H7" s="9">
        <v>312.48</v>
      </c>
      <c r="I7" s="12">
        <f t="shared" si="1"/>
        <v>934.03</v>
      </c>
      <c r="J7" s="9">
        <v>140589.47</v>
      </c>
      <c r="K7" s="9">
        <v>17942.669999999998</v>
      </c>
      <c r="L7" s="9">
        <v>41.32</v>
      </c>
      <c r="M7" s="9">
        <v>2177.86</v>
      </c>
      <c r="N7" s="9">
        <v>139655.44</v>
      </c>
    </row>
    <row r="8" spans="2:14">
      <c r="B8" s="10">
        <v>6</v>
      </c>
      <c r="C8" s="11" t="s">
        <v>146</v>
      </c>
      <c r="D8" s="12">
        <v>1266.5</v>
      </c>
      <c r="E8" s="12">
        <v>102.31</v>
      </c>
      <c r="F8" s="12">
        <f t="shared" si="0"/>
        <v>129575.61500000001</v>
      </c>
      <c r="G8" s="12">
        <v>4009.19</v>
      </c>
      <c r="H8" s="12">
        <v>483.06</v>
      </c>
      <c r="I8" s="12">
        <f t="shared" si="1"/>
        <v>3526.13</v>
      </c>
      <c r="J8" s="12">
        <v>133098.5</v>
      </c>
      <c r="K8" s="12">
        <v>14364.29</v>
      </c>
      <c r="L8" s="12">
        <v>40.44</v>
      </c>
      <c r="M8" s="12">
        <v>1852.3</v>
      </c>
      <c r="N8" s="12">
        <v>129572.37</v>
      </c>
    </row>
    <row r="9" spans="2:14">
      <c r="B9" s="7">
        <v>7</v>
      </c>
      <c r="C9" s="8" t="s">
        <v>147</v>
      </c>
      <c r="D9" s="9">
        <v>1070.4000000000001</v>
      </c>
      <c r="E9" s="9">
        <v>98.95</v>
      </c>
      <c r="F9" s="12">
        <f t="shared" si="0"/>
        <v>105916.08000000002</v>
      </c>
      <c r="G9" s="9">
        <v>2392.6799999999998</v>
      </c>
      <c r="H9" s="9">
        <v>2817.86</v>
      </c>
      <c r="I9" s="12">
        <f t="shared" si="1"/>
        <v>-425.18000000000029</v>
      </c>
      <c r="J9" s="9">
        <v>105494.51</v>
      </c>
      <c r="K9" s="9">
        <v>18045.14</v>
      </c>
      <c r="L9" s="9">
        <v>40.36</v>
      </c>
      <c r="M9" s="9">
        <v>1329.6</v>
      </c>
      <c r="N9" s="9">
        <v>105919.69</v>
      </c>
    </row>
    <row r="10" spans="2:14">
      <c r="B10" s="10">
        <v>8</v>
      </c>
      <c r="C10" s="11" t="s">
        <v>148</v>
      </c>
      <c r="D10" s="12">
        <v>1322.4</v>
      </c>
      <c r="E10" s="12">
        <v>72.739999999999995</v>
      </c>
      <c r="F10" s="12">
        <f t="shared" si="0"/>
        <v>96191.376000000004</v>
      </c>
      <c r="G10" s="12">
        <v>480</v>
      </c>
      <c r="H10" s="12">
        <v>2030</v>
      </c>
      <c r="I10" s="12">
        <f t="shared" si="1"/>
        <v>-1550</v>
      </c>
      <c r="J10" s="12">
        <v>94634.880000000005</v>
      </c>
      <c r="K10" s="12">
        <v>12069</v>
      </c>
      <c r="L10" s="12">
        <v>36.79</v>
      </c>
      <c r="M10" s="12">
        <v>1582</v>
      </c>
      <c r="N10" s="12">
        <v>96184.88</v>
      </c>
    </row>
    <row r="11" spans="2:14">
      <c r="B11" s="7">
        <v>9</v>
      </c>
      <c r="C11" s="8" t="s">
        <v>149</v>
      </c>
      <c r="D11" s="9">
        <v>534.35</v>
      </c>
      <c r="E11" s="9">
        <v>177.37</v>
      </c>
      <c r="F11" s="12">
        <f t="shared" si="0"/>
        <v>94777.659500000009</v>
      </c>
      <c r="G11" s="9">
        <v>950.37</v>
      </c>
      <c r="H11" s="9">
        <v>578.01</v>
      </c>
      <c r="I11" s="12">
        <f t="shared" si="1"/>
        <v>372.36</v>
      </c>
      <c r="J11" s="9">
        <v>95149.49</v>
      </c>
      <c r="K11" s="9">
        <v>12618.56</v>
      </c>
      <c r="L11" s="9">
        <v>32.880000000000003</v>
      </c>
      <c r="M11" s="9">
        <v>1754.36</v>
      </c>
      <c r="N11" s="9">
        <v>94777.13</v>
      </c>
    </row>
    <row r="12" spans="2:14">
      <c r="B12" s="10">
        <v>10</v>
      </c>
      <c r="C12" s="11" t="s">
        <v>150</v>
      </c>
      <c r="D12" s="12">
        <v>711.2</v>
      </c>
      <c r="E12" s="12">
        <v>129.78</v>
      </c>
      <c r="F12" s="12">
        <f t="shared" si="0"/>
        <v>92299.536000000007</v>
      </c>
      <c r="G12" s="12">
        <v>554</v>
      </c>
      <c r="H12" s="12">
        <v>777</v>
      </c>
      <c r="I12" s="12">
        <f t="shared" si="1"/>
        <v>-223</v>
      </c>
      <c r="J12" s="12">
        <v>92078.34</v>
      </c>
      <c r="K12" s="12">
        <v>10831</v>
      </c>
      <c r="L12" s="12">
        <v>39.57</v>
      </c>
      <c r="M12" s="12">
        <v>1658</v>
      </c>
      <c r="N12" s="12">
        <v>92301.34</v>
      </c>
    </row>
    <row r="13" spans="2:14">
      <c r="B13" s="7">
        <v>11</v>
      </c>
      <c r="C13" s="8" t="s">
        <v>151</v>
      </c>
      <c r="D13" s="9">
        <v>1984.6</v>
      </c>
      <c r="E13" s="9">
        <v>36.25</v>
      </c>
      <c r="F13" s="12">
        <f t="shared" si="0"/>
        <v>71941.75</v>
      </c>
      <c r="G13" s="9">
        <v>787.68</v>
      </c>
      <c r="H13" s="9">
        <v>275.3</v>
      </c>
      <c r="I13" s="12">
        <f t="shared" si="1"/>
        <v>512.37999999999988</v>
      </c>
      <c r="J13" s="9">
        <v>72466.990000000005</v>
      </c>
      <c r="K13" s="9">
        <v>34156.97</v>
      </c>
      <c r="L13" s="9">
        <v>34.86</v>
      </c>
      <c r="M13" s="9">
        <v>1301.3399999999999</v>
      </c>
      <c r="N13" s="9">
        <v>71954.61</v>
      </c>
    </row>
    <row r="14" spans="2:14">
      <c r="B14" s="10">
        <v>12</v>
      </c>
      <c r="C14" s="11" t="s">
        <v>152</v>
      </c>
      <c r="D14" s="12">
        <v>2258</v>
      </c>
      <c r="E14" s="12">
        <v>27.2</v>
      </c>
      <c r="F14" s="12">
        <f t="shared" si="0"/>
        <v>61417.599999999999</v>
      </c>
      <c r="G14" s="12">
        <v>60.84</v>
      </c>
      <c r="H14" s="12">
        <v>1095.1300000000001</v>
      </c>
      <c r="I14" s="12">
        <f t="shared" si="1"/>
        <v>-1034.2900000000002</v>
      </c>
      <c r="J14" s="12">
        <v>60380.07</v>
      </c>
      <c r="K14" s="12">
        <v>5977.52</v>
      </c>
      <c r="L14" s="12">
        <v>29.66</v>
      </c>
      <c r="M14" s="12">
        <v>1393.45</v>
      </c>
      <c r="N14" s="12">
        <v>61414.36</v>
      </c>
    </row>
    <row r="15" spans="2:14">
      <c r="B15" s="7">
        <v>13</v>
      </c>
      <c r="C15" s="8" t="s">
        <v>153</v>
      </c>
      <c r="D15" s="9">
        <v>1924.9</v>
      </c>
      <c r="E15" s="9">
        <v>26.44</v>
      </c>
      <c r="F15" s="12">
        <f t="shared" si="0"/>
        <v>50894.356000000007</v>
      </c>
      <c r="G15" s="9">
        <v>619.98</v>
      </c>
      <c r="H15" s="9">
        <v>442.88</v>
      </c>
      <c r="I15" s="12">
        <f t="shared" si="1"/>
        <v>177.10000000000002</v>
      </c>
      <c r="J15" s="9">
        <v>51072.45</v>
      </c>
      <c r="K15" s="9">
        <v>9304.2800000000007</v>
      </c>
      <c r="L15" s="9">
        <v>56.38</v>
      </c>
      <c r="M15" s="9">
        <v>452.64</v>
      </c>
      <c r="N15" s="9">
        <v>50895.35</v>
      </c>
    </row>
    <row r="16" spans="2:14">
      <c r="B16" s="10">
        <v>14</v>
      </c>
      <c r="C16" s="11" t="s">
        <v>154</v>
      </c>
      <c r="D16" s="12">
        <v>8777</v>
      </c>
      <c r="E16" s="12">
        <v>5.2</v>
      </c>
      <c r="F16" s="12">
        <f t="shared" si="0"/>
        <v>45640.4</v>
      </c>
      <c r="G16" s="12">
        <v>178.97</v>
      </c>
      <c r="H16" s="12">
        <v>30.31</v>
      </c>
      <c r="I16" s="12">
        <f t="shared" si="1"/>
        <v>148.66</v>
      </c>
      <c r="J16" s="12">
        <v>45783.72</v>
      </c>
      <c r="K16" s="12">
        <v>5611.02</v>
      </c>
      <c r="L16" s="12">
        <v>28.49</v>
      </c>
      <c r="M16" s="12">
        <v>1072.31</v>
      </c>
      <c r="N16" s="12">
        <v>45635.06</v>
      </c>
    </row>
    <row r="17" spans="2:14">
      <c r="B17" s="7">
        <v>15</v>
      </c>
      <c r="C17" s="8" t="s">
        <v>155</v>
      </c>
      <c r="D17" s="9">
        <v>13693</v>
      </c>
      <c r="E17" s="9">
        <v>3.25</v>
      </c>
      <c r="F17" s="12">
        <f t="shared" si="0"/>
        <v>44502.25</v>
      </c>
      <c r="G17" s="9">
        <v>2.3199999999999998</v>
      </c>
      <c r="H17" s="9">
        <v>588.20000000000005</v>
      </c>
      <c r="I17" s="12">
        <f t="shared" si="1"/>
        <v>-585.88</v>
      </c>
      <c r="J17" s="9">
        <v>43970.11</v>
      </c>
      <c r="K17" s="9">
        <v>4311.45</v>
      </c>
      <c r="L17" s="9">
        <v>37.19</v>
      </c>
      <c r="M17" s="9">
        <v>828.65</v>
      </c>
      <c r="N17" s="9">
        <v>44448.49</v>
      </c>
    </row>
  </sheetData>
  <hyperlinks>
    <hyperlink ref="C4" r:id="rId1" display="https://www.screener.in/company/ITC/consolidated/"/>
    <hyperlink ref="C5" r:id="rId2" display="https://www.screener.in/company/NESTLEIND/"/>
    <hyperlink ref="C6" r:id="rId3" display="https://www.screener.in/company/VBL/consolidated/"/>
    <hyperlink ref="C7" r:id="rId4" display="https://www.screener.in/company/BRITANNIA/consolidated/"/>
    <hyperlink ref="C8" r:id="rId5" display="https://www.screener.in/company/GODREJCP/consolidated/"/>
    <hyperlink ref="C9" r:id="rId6" display="https://www.screener.in/company/TATACONSUM/consolidated/"/>
    <hyperlink ref="C10" r:id="rId7" display="https://www.screener.in/company/UNITDSPR/consolidated/"/>
    <hyperlink ref="C11" r:id="rId8" display="https://www.screener.in/company/DABUR/consolidated/"/>
    <hyperlink ref="C12" r:id="rId9" display="https://www.screener.in/company/MARICO/consolidated/"/>
    <hyperlink ref="C13" r:id="rId10" display="https://www.screener.in/company/PATANJALI/"/>
    <hyperlink ref="C14" r:id="rId11" display="https://www.screener.in/company/COLPAL/"/>
    <hyperlink ref="C15" r:id="rId12" display="https://www.screener.in/company/UBL/consolidated/"/>
    <hyperlink ref="C16" r:id="rId13" display="https://www.screener.in/company/GODFRYPHLP/consolidated/"/>
    <hyperlink ref="C17" r:id="rId14" display="https://www.screener.in/company/PGHH/"/>
    <hyperlink ref="B2" r:id="rId15" display="https://www.screener.in/market/IN04/IN0401/?order=asc"/>
    <hyperlink ref="C2" r:id="rId16" display="https://www.screener.in/market/IN04/IN0401/?sort=name&amp;order=desc"/>
    <hyperlink ref="D2" r:id="rId17" display="https://www.screener.in/market/IN04/IN0401/?sort=current+price&amp;order=desc"/>
    <hyperlink ref="E2" r:id="rId18" display="https://www.screener.in/market/IN04/IN0401/?sort=number+of+equity+shares&amp;order=desc"/>
    <hyperlink ref="G2" r:id="rId19" display="https://www.screener.in/market/IN04/IN0401/?sort=debt&amp;order=desc"/>
    <hyperlink ref="H2" r:id="rId20" display="https://www.screener.in/market/IN04/IN0401/?sort=cash+end+of+last+year&amp;order=desc"/>
    <hyperlink ref="J2" r:id="rId21" display="https://www.screener.in/market/IN04/IN0401/?sort=enterprise+value&amp;order=desc"/>
    <hyperlink ref="K2" r:id="rId22" display="https://www.screener.in/market/IN04/IN0401/?sort=sales&amp;order=desc"/>
    <hyperlink ref="L2" r:id="rId23" display="https://www.screener.in/market/IN04/IN0401/?sort=evebitda&amp;order=desc"/>
    <hyperlink ref="M2" r:id="rId24" display="https://www.screener.in/market/IN04/IN0401/?sort=net+profit&amp;order=desc"/>
    <hyperlink ref="N2" r:id="rId25" display="https://www.screener.in/market/IN04/IN0401/?sort=market+capitalization&amp;order=desc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2025-08-03T05:10:22Z</dcterms:created>
  <dcterms:modified xsi:type="dcterms:W3CDTF">2025-08-03T13:20:33Z</dcterms:modified>
</cp:coreProperties>
</file>