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tabRatio="800" activeTab="6"/>
  </bookViews>
  <sheets>
    <sheet name="Profit &amp; Loss Statement " sheetId="1" r:id="rId1"/>
    <sheet name="Income Statement " sheetId="2" r:id="rId2"/>
    <sheet name="Balance Sheet " sheetId="3" r:id="rId3"/>
    <sheet name="Ratio Analysis" sheetId="4" r:id="rId4"/>
    <sheet name="Weight Average Cost of Capital" sheetId="5" r:id="rId5"/>
    <sheet name="Intrinsic Growth " sheetId="6" r:id="rId6"/>
    <sheet name="DCF" sheetId="7" r:id="rId7"/>
  </sheets>
  <calcPr calcId="124519" calcMode="manual"/>
</workbook>
</file>

<file path=xl/calcChain.xml><?xml version="1.0" encoding="utf-8"?>
<calcChain xmlns="http://schemas.openxmlformats.org/spreadsheetml/2006/main">
  <c r="D22" i="4"/>
  <c r="D34" s="1"/>
  <c r="E22"/>
  <c r="E34" s="1"/>
  <c r="F22"/>
  <c r="F34" s="1"/>
  <c r="G22"/>
  <c r="G34" s="1"/>
  <c r="C22"/>
  <c r="C34" s="1"/>
  <c r="D21"/>
  <c r="D33" s="1"/>
  <c r="E21"/>
  <c r="E33" s="1"/>
  <c r="F21"/>
  <c r="F33" s="1"/>
  <c r="G21"/>
  <c r="G33" s="1"/>
  <c r="C21"/>
  <c r="C33" s="1"/>
  <c r="D20"/>
  <c r="G20"/>
  <c r="C20"/>
  <c r="D40"/>
  <c r="E40"/>
  <c r="F40"/>
  <c r="E20" s="1"/>
  <c r="G40"/>
  <c r="C40"/>
  <c r="D19"/>
  <c r="E19"/>
  <c r="F19"/>
  <c r="G19"/>
  <c r="C19"/>
  <c r="D18"/>
  <c r="E18"/>
  <c r="F18"/>
  <c r="G18"/>
  <c r="C18"/>
  <c r="D15"/>
  <c r="E15"/>
  <c r="F15"/>
  <c r="G15"/>
  <c r="C15"/>
  <c r="D14"/>
  <c r="E14"/>
  <c r="F14"/>
  <c r="G14"/>
  <c r="C14"/>
  <c r="D13"/>
  <c r="E13"/>
  <c r="F13"/>
  <c r="G13"/>
  <c r="C13"/>
  <c r="E11"/>
  <c r="F11" s="1"/>
  <c r="G11" s="1"/>
  <c r="D11"/>
  <c r="F20" l="1"/>
  <c r="C47" i="7"/>
  <c r="C48"/>
  <c r="D22"/>
  <c r="C44" s="1"/>
  <c r="C36"/>
  <c r="C35"/>
  <c r="Q47" i="5"/>
  <c r="D15" i="7"/>
  <c r="E15"/>
  <c r="F15"/>
  <c r="G15"/>
  <c r="C15"/>
  <c r="D11"/>
  <c r="E11" s="1"/>
  <c r="F11" s="1"/>
  <c r="G11" s="1"/>
  <c r="H11" s="1"/>
  <c r="E66" i="6"/>
  <c r="F66"/>
  <c r="G66" s="1"/>
  <c r="D66"/>
  <c r="C57"/>
  <c r="E49"/>
  <c r="F49" s="1"/>
  <c r="G49" s="1"/>
  <c r="D49"/>
  <c r="D50"/>
  <c r="E50"/>
  <c r="F50"/>
  <c r="G50"/>
  <c r="C50"/>
  <c r="D40"/>
  <c r="E40"/>
  <c r="F40"/>
  <c r="G40"/>
  <c r="C40"/>
  <c r="B40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D34"/>
  <c r="E34"/>
  <c r="F34"/>
  <c r="G34"/>
  <c r="C34"/>
  <c r="C32"/>
  <c r="D32"/>
  <c r="E32"/>
  <c r="F32"/>
  <c r="G32"/>
  <c r="C33"/>
  <c r="D33"/>
  <c r="E33"/>
  <c r="F33"/>
  <c r="G33"/>
  <c r="D31"/>
  <c r="E31"/>
  <c r="F31"/>
  <c r="G31"/>
  <c r="C31"/>
  <c r="B38"/>
  <c r="B36"/>
  <c r="B37"/>
  <c r="B34"/>
  <c r="B35"/>
  <c r="B32"/>
  <c r="B33"/>
  <c r="B31"/>
  <c r="C24"/>
  <c r="D24"/>
  <c r="E24"/>
  <c r="F24"/>
  <c r="G24"/>
  <c r="C25"/>
  <c r="D25"/>
  <c r="E25"/>
  <c r="F25"/>
  <c r="G25"/>
  <c r="D23"/>
  <c r="E23"/>
  <c r="F23"/>
  <c r="G23"/>
  <c r="C23"/>
  <c r="B24"/>
  <c r="B25"/>
  <c r="B23"/>
  <c r="C19"/>
  <c r="D19"/>
  <c r="E19"/>
  <c r="F19"/>
  <c r="G19"/>
  <c r="D18"/>
  <c r="E18"/>
  <c r="F18"/>
  <c r="G18"/>
  <c r="C18"/>
  <c r="C17"/>
  <c r="D17"/>
  <c r="E17"/>
  <c r="F17"/>
  <c r="G17"/>
  <c r="D16"/>
  <c r="E16"/>
  <c r="F16"/>
  <c r="G16"/>
  <c r="C16"/>
  <c r="B17"/>
  <c r="B18"/>
  <c r="B19"/>
  <c r="B16"/>
  <c r="D13"/>
  <c r="E13" s="1"/>
  <c r="F13" s="1"/>
  <c r="G13" s="1"/>
  <c r="R45" i="5"/>
  <c r="Q45"/>
  <c r="R38"/>
  <c r="G42"/>
  <c r="F39"/>
  <c r="G37" s="1"/>
  <c r="R30"/>
  <c r="R29"/>
  <c r="H29"/>
  <c r="K14"/>
  <c r="K15"/>
  <c r="K16"/>
  <c r="K17"/>
  <c r="K18"/>
  <c r="K19"/>
  <c r="K20"/>
  <c r="K21"/>
  <c r="K22"/>
  <c r="K13"/>
  <c r="I14"/>
  <c r="I15"/>
  <c r="I16"/>
  <c r="I17"/>
  <c r="I18"/>
  <c r="I19"/>
  <c r="I20"/>
  <c r="I21"/>
  <c r="I22"/>
  <c r="I13"/>
  <c r="H22"/>
  <c r="H14"/>
  <c r="H15"/>
  <c r="H16"/>
  <c r="H17"/>
  <c r="H18"/>
  <c r="H19"/>
  <c r="H20"/>
  <c r="H21"/>
  <c r="H13"/>
  <c r="E22" i="7" l="1"/>
  <c r="F22" s="1"/>
  <c r="G22" s="1"/>
  <c r="H22" s="1"/>
  <c r="F39" i="6"/>
  <c r="F41" s="1"/>
  <c r="C26"/>
  <c r="D26"/>
  <c r="F20"/>
  <c r="C39"/>
  <c r="C41" s="1"/>
  <c r="D39"/>
  <c r="D41" s="1"/>
  <c r="G26"/>
  <c r="G39"/>
  <c r="G41" s="1"/>
  <c r="E39"/>
  <c r="E41" s="1"/>
  <c r="E26"/>
  <c r="G20"/>
  <c r="G28" s="1"/>
  <c r="F26"/>
  <c r="F28" s="1"/>
  <c r="C20"/>
  <c r="C28" s="1"/>
  <c r="C43" s="1"/>
  <c r="D20"/>
  <c r="E20"/>
  <c r="G39" i="5"/>
  <c r="H39" s="1"/>
  <c r="H38" s="1"/>
  <c r="G38"/>
  <c r="Q46"/>
  <c r="G43" i="6" l="1"/>
  <c r="G51"/>
  <c r="G57" s="1"/>
  <c r="D28"/>
  <c r="F43"/>
  <c r="E28"/>
  <c r="H42" i="5"/>
  <c r="R46"/>
  <c r="D43" i="6" l="1"/>
  <c r="D51"/>
  <c r="D57" s="1"/>
  <c r="E43"/>
  <c r="E51"/>
  <c r="E57" s="1"/>
  <c r="F51"/>
  <c r="F57" s="1"/>
  <c r="D37" i="2"/>
  <c r="E37"/>
  <c r="F37"/>
  <c r="G37"/>
  <c r="C37"/>
  <c r="D34"/>
  <c r="E34"/>
  <c r="F34"/>
  <c r="G34"/>
  <c r="C34"/>
  <c r="D30"/>
  <c r="E30"/>
  <c r="F30"/>
  <c r="G30"/>
  <c r="C30"/>
  <c r="D28"/>
  <c r="E28"/>
  <c r="F28"/>
  <c r="G28"/>
  <c r="C28"/>
  <c r="D23"/>
  <c r="E23"/>
  <c r="F23"/>
  <c r="G23"/>
  <c r="C23"/>
  <c r="D21"/>
  <c r="E21"/>
  <c r="F21"/>
  <c r="G21"/>
  <c r="C21"/>
  <c r="D17"/>
  <c r="E17"/>
  <c r="F17"/>
  <c r="G17"/>
  <c r="C17"/>
  <c r="D15"/>
  <c r="E15"/>
  <c r="F15"/>
  <c r="G15"/>
  <c r="C15"/>
  <c r="D19" l="1"/>
  <c r="D25" i="4" s="1"/>
  <c r="E25" i="2"/>
  <c r="E26" i="4" s="1"/>
  <c r="C25" i="2"/>
  <c r="C26" i="4" s="1"/>
  <c r="D25" i="2"/>
  <c r="E19"/>
  <c r="E25" i="4" s="1"/>
  <c r="F19" i="2"/>
  <c r="F25" i="4" s="1"/>
  <c r="G19" i="2"/>
  <c r="G25" i="4" s="1"/>
  <c r="C19" i="2"/>
  <c r="C25" i="4" s="1"/>
  <c r="G25" i="2"/>
  <c r="G26" i="4" s="1"/>
  <c r="F25" i="2"/>
  <c r="E27"/>
  <c r="E32" s="1"/>
  <c r="F27" l="1"/>
  <c r="F32" s="1"/>
  <c r="F26" i="4"/>
  <c r="D27" i="2"/>
  <c r="D32" s="1"/>
  <c r="D26" i="4"/>
  <c r="E36" i="2"/>
  <c r="E38" s="1"/>
  <c r="E28" i="4" s="1"/>
  <c r="E29"/>
  <c r="E27"/>
  <c r="E53" i="6"/>
  <c r="E55" s="1"/>
  <c r="E58" s="1"/>
  <c r="E68" s="1"/>
  <c r="E44"/>
  <c r="E46" s="1"/>
  <c r="E69" s="1"/>
  <c r="E71" s="1"/>
  <c r="C27" i="2"/>
  <c r="C32" s="1"/>
  <c r="G27"/>
  <c r="G32" s="1"/>
  <c r="C36" l="1"/>
  <c r="C38" s="1"/>
  <c r="C28" i="4" s="1"/>
  <c r="C29"/>
  <c r="C27"/>
  <c r="C13" i="7"/>
  <c r="C53" i="6"/>
  <c r="C55" s="1"/>
  <c r="C58" s="1"/>
  <c r="C44"/>
  <c r="C46" s="1"/>
  <c r="C69" s="1"/>
  <c r="D36" i="2"/>
  <c r="D38" s="1"/>
  <c r="D28" i="4" s="1"/>
  <c r="D29"/>
  <c r="D27"/>
  <c r="D53" i="6"/>
  <c r="D55" s="1"/>
  <c r="D58" s="1"/>
  <c r="D68" s="1"/>
  <c r="D71" s="1"/>
  <c r="D44"/>
  <c r="D46" s="1"/>
  <c r="D69" s="1"/>
  <c r="F36" i="2"/>
  <c r="F38" s="1"/>
  <c r="F28" i="4" s="1"/>
  <c r="F27"/>
  <c r="F29"/>
  <c r="F53" i="6"/>
  <c r="F55" s="1"/>
  <c r="F58" s="1"/>
  <c r="F68" s="1"/>
  <c r="F71" s="1"/>
  <c r="F44"/>
  <c r="F46" s="1"/>
  <c r="F69" s="1"/>
  <c r="G36" i="2"/>
  <c r="G38" s="1"/>
  <c r="G28" i="4" s="1"/>
  <c r="G27"/>
  <c r="G29"/>
  <c r="G53" i="6"/>
  <c r="G55" s="1"/>
  <c r="G58" s="1"/>
  <c r="G68" s="1"/>
  <c r="G44"/>
  <c r="G46" s="1"/>
  <c r="G69" s="1"/>
  <c r="G71" s="1"/>
  <c r="C60" l="1"/>
  <c r="C68"/>
  <c r="C71" s="1"/>
  <c r="C61"/>
  <c r="D13" i="7"/>
  <c r="C17"/>
  <c r="C21" s="1"/>
  <c r="C75" i="6" l="1"/>
  <c r="C74"/>
  <c r="E13" i="7"/>
  <c r="D17"/>
  <c r="D21" s="1"/>
  <c r="F13" l="1"/>
  <c r="E17"/>
  <c r="E21" s="1"/>
  <c r="F17" l="1"/>
  <c r="F21" s="1"/>
  <c r="G13"/>
  <c r="H13" l="1"/>
  <c r="H17" s="1"/>
  <c r="H21" s="1"/>
  <c r="C34" s="1"/>
  <c r="C38" s="1"/>
  <c r="G17"/>
  <c r="G21" s="1"/>
  <c r="C43" l="1"/>
  <c r="C45" s="1"/>
  <c r="C50" s="1"/>
  <c r="C53" s="1"/>
  <c r="C56" s="1"/>
</calcChain>
</file>

<file path=xl/sharedStrings.xml><?xml version="1.0" encoding="utf-8"?>
<sst xmlns="http://schemas.openxmlformats.org/spreadsheetml/2006/main" count="373" uniqueCount="281">
  <si>
    <t xml:space="preserve"> </t>
  </si>
  <si>
    <t>12 mths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</si>
  <si>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</si>
  <si>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</si>
  <si>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</si>
  <si>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</si>
  <si>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</si>
  <si>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</si>
  <si>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</si>
  <si>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</si>
  <si>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</si>
  <si>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</si>
  <si>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</si>
  <si>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</si>
  <si>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</si>
  <si>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</si>
  <si>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</si>
  <si>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</si>
  <si>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</si>
  <si>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</si>
  <si>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</si>
  <si>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</si>
  <si>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</si>
  <si>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</si>
  <si>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</si>
  <si>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</si>
  <si>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</si>
  <si>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</si>
  <si>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</si>
  <si>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</si>
  <si>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</si>
  <si>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</si>
  <si>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</si>
  <si>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</si>
  <si>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</si>
  <si>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VALUE OF IMPORTED AND INDIGENIOUS RAW MATERIALS STORES, SPARES AND LOOSE TOOLS</t>
  </si>
  <si>
    <t>Imported Raw Materials</t>
  </si>
  <si>
    <t>Indigenous Raw Materials</t>
  </si>
  <si>
    <t>STORES, SPARES AND LOOSE TOOLS</t>
  </si>
  <si>
    <t>Imported Stores And Spares</t>
  </si>
  <si>
    <t>Indigenous Stores And Spares</t>
  </si>
  <si>
    <t>DIVIDEND AND DIVIDEND PERCENTAGE</t>
  </si>
  <si>
    <t>Equity Share Dividend</t>
  </si>
  <si>
    <t>Tax On Dividend</t>
  </si>
  <si>
    <t>Equity Dividend Rate (%)</t>
  </si>
  <si>
    <t>Particulars</t>
  </si>
  <si>
    <t>1. Revenue</t>
  </si>
  <si>
    <t>  - Net Sales</t>
  </si>
  <si>
    <t>2. Cost of goods sold</t>
  </si>
  <si>
    <t>3. Gross profit</t>
  </si>
  <si>
    <t>4. Operating expenses</t>
  </si>
  <si>
    <t>  - Selling, general and administrative (Payroll)</t>
  </si>
  <si>
    <t>  - Other Operating Expenses</t>
  </si>
  <si>
    <t>5. Total operating expenses</t>
  </si>
  <si>
    <t>6. EBITDA</t>
  </si>
  <si>
    <t>7. Depreciation and amortization</t>
  </si>
  <si>
    <t>8. Other Income</t>
  </si>
  <si>
    <t>9. EBIT</t>
  </si>
  <si>
    <t>10. Interest</t>
  </si>
  <si>
    <t>  - Interest expense (Debt)</t>
  </si>
  <si>
    <t>11. EBT</t>
  </si>
  <si>
    <t>12. Income tax expense</t>
  </si>
  <si>
    <t>13. Net Income (Adjusted)</t>
  </si>
  <si>
    <t>Trade Payables</t>
  </si>
  <si>
    <t>Intangible Assets</t>
  </si>
  <si>
    <t>Total Assets</t>
  </si>
  <si>
    <t>Particular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</si>
  <si>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</si>
  <si>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</si>
  <si>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</si>
  <si>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</si>
  <si>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</si>
  <si>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</si>
  <si>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</si>
  <si>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</si>
  <si>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</si>
  <si>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</si>
  <si>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</si>
  <si>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</si>
  <si>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</si>
  <si>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</si>
  <si>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</si>
  <si>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</si>
  <si>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</si>
  <si>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</si>
  <si>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</si>
  <si>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</si>
  <si>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</si>
  <si>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</si>
  <si>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</si>
  <si>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</si>
  <si>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</si>
  <si>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</si>
  <si>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</si>
  <si>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</si>
  <si>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</si>
  <si>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</si>
  <si>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</si>
  <si>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</si>
  <si>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</si>
  <si>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</si>
  <si>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</si>
  <si>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</si>
  <si>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</si>
  <si>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</si>
  <si>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CONTINGENT LIABILITIES, COMMITMENTS</t>
  </si>
  <si>
    <t>Contingent Liabilities</t>
  </si>
  <si>
    <t>CIF VALUE OF IMPORTS</t>
  </si>
  <si>
    <t>Raw Materials</t>
  </si>
  <si>
    <t>Stores, Spares And Loose Tools</t>
  </si>
  <si>
    <t>Trade/Other Goods</t>
  </si>
  <si>
    <t>Capital Goods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</si>
  <si>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</si>
  <si>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</si>
  <si>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</si>
  <si>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</si>
  <si>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</si>
  <si>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</si>
  <si>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</si>
  <si>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</si>
  <si>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</si>
  <si>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</si>
  <si>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</si>
  <si>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</si>
  <si>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</si>
  <si>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</si>
  <si>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</si>
  <si>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</si>
  <si>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TCS</t>
  </si>
  <si>
    <t>Infosys</t>
  </si>
  <si>
    <t>HCL Technologies</t>
  </si>
  <si>
    <t>Wipro</t>
  </si>
  <si>
    <t>LTIMindtree</t>
  </si>
  <si>
    <t>Tech Mahindra</t>
  </si>
  <si>
    <t>Persistent Sys</t>
  </si>
  <si>
    <t>Oracle Fin.Serv.</t>
  </si>
  <si>
    <t>Coforge</t>
  </si>
  <si>
    <t>Mphasis</t>
  </si>
  <si>
    <t>S.R. NO.</t>
  </si>
  <si>
    <t xml:space="preserve">Company </t>
  </si>
  <si>
    <t xml:space="preserve">Country </t>
  </si>
  <si>
    <t xml:space="preserve">India </t>
  </si>
  <si>
    <t xml:space="preserve">Total Debt </t>
  </si>
  <si>
    <t xml:space="preserve">Total Equity </t>
  </si>
  <si>
    <t xml:space="preserve">Tax Rate </t>
  </si>
  <si>
    <t>Debt/</t>
  </si>
  <si>
    <t>Equity</t>
  </si>
  <si>
    <t xml:space="preserve">Capital </t>
  </si>
  <si>
    <t>Leverage</t>
  </si>
  <si>
    <t xml:space="preserve">Cost of Debt </t>
  </si>
  <si>
    <t xml:space="preserve">Pre- tax cost of Debt </t>
  </si>
  <si>
    <t xml:space="preserve">Post -tax cost of debt </t>
  </si>
  <si>
    <t xml:space="preserve">Cost of Equity  </t>
  </si>
  <si>
    <t>Risk free rate</t>
  </si>
  <si>
    <t xml:space="preserve">Equity risk premium </t>
  </si>
  <si>
    <r>
      <t>Leverage beta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</si>
  <si>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 xml:space="preserve">Cost of EQUITY </t>
  </si>
  <si>
    <t xml:space="preserve">CAPITAL STRUCTURE </t>
  </si>
  <si>
    <t xml:space="preserve">Current </t>
  </si>
  <si>
    <t xml:space="preserve">Target </t>
  </si>
  <si>
    <t xml:space="preserve">Market Capitalism </t>
  </si>
  <si>
    <t xml:space="preserve">Total Capital </t>
  </si>
  <si>
    <t>Leverage Beta</t>
  </si>
  <si>
    <t>Company Median Unlevered Beta</t>
  </si>
  <si>
    <t xml:space="preserve">Target Debt/Equity </t>
  </si>
  <si>
    <t>Tax rate</t>
  </si>
  <si>
    <t xml:space="preserve">Leverage Beta </t>
  </si>
  <si>
    <t xml:space="preserve">Debt/Equity </t>
  </si>
  <si>
    <t xml:space="preserve">Weight Average Cost of Capital </t>
  </si>
  <si>
    <t>Total Cost</t>
  </si>
  <si>
    <t xml:space="preserve">Total Weight </t>
  </si>
  <si>
    <t xml:space="preserve">Debt </t>
  </si>
  <si>
    <t xml:space="preserve">Equity </t>
  </si>
  <si>
    <r>
      <t>Beta</t>
    </r>
    <r>
      <rPr>
        <vertAlign val="superscript"/>
        <sz val="11"/>
        <color theme="0"/>
        <rFont val="Calibri"/>
        <family val="2"/>
        <scheme val="minor"/>
      </rPr>
      <t xml:space="preserve"> 1</t>
    </r>
  </si>
  <si>
    <r>
      <t>Beta</t>
    </r>
    <r>
      <rPr>
        <vertAlign val="superscript"/>
        <sz val="11"/>
        <color theme="0"/>
        <rFont val="Calibri"/>
        <family val="2"/>
        <scheme val="minor"/>
      </rPr>
      <t xml:space="preserve"> 2</t>
    </r>
  </si>
  <si>
    <t>Profit from operations</t>
  </si>
  <si>
    <t>Receivables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</si>
  <si>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</si>
  <si>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</si>
  <si>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</si>
  <si>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</si>
  <si>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</si>
  <si>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</si>
  <si>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</si>
  <si>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</si>
  <si>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</si>
  <si>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</si>
  <si>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</si>
  <si>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Acquisition of companies</t>
  </si>
  <si>
    <t>Inter corporate deposits</t>
  </si>
  <si>
    <t>Other investing items</t>
  </si>
  <si>
    <t>Proceeds from shares</t>
  </si>
  <si>
    <t>Repayment of borrowings</t>
  </si>
  <si>
    <t>Dividends paid</t>
  </si>
  <si>
    <t>Financial liabilities</t>
  </si>
  <si>
    <t>Other financing items</t>
  </si>
  <si>
    <t>Net Cash Flow</t>
  </si>
  <si>
    <t>Cash from Operating Activity -</t>
  </si>
  <si>
    <t>Cash from Investing Activity -</t>
  </si>
  <si>
    <t>Cash from Financing Activity -</t>
  </si>
  <si>
    <t xml:space="preserve">Cash Flows Statement </t>
  </si>
  <si>
    <t xml:space="preserve">Particulas </t>
  </si>
  <si>
    <t>Total Current Asset</t>
  </si>
  <si>
    <t xml:space="preserve">Current Asset </t>
  </si>
  <si>
    <t>Current Liability</t>
  </si>
  <si>
    <t>Total Current Liability</t>
  </si>
  <si>
    <t xml:space="preserve">Net Working Capital </t>
  </si>
  <si>
    <t>#</t>
  </si>
  <si>
    <t>Calculation Of Return on Invested Capital (ROIC)</t>
  </si>
  <si>
    <t xml:space="preserve">Non Current Asset </t>
  </si>
  <si>
    <t xml:space="preserve">Gross Block </t>
  </si>
  <si>
    <t>Net Non Current Asset</t>
  </si>
  <si>
    <t xml:space="preserve">Investing Capital </t>
  </si>
  <si>
    <t>Return on Invested Capital (ROIC)</t>
  </si>
  <si>
    <t>EBIT</t>
  </si>
  <si>
    <t>Calculation OF Reinvestment</t>
  </si>
  <si>
    <t xml:space="preserve">Net Capex </t>
  </si>
  <si>
    <t xml:space="preserve">Particular </t>
  </si>
  <si>
    <t xml:space="preserve">Change in Working Capital </t>
  </si>
  <si>
    <t xml:space="preserve">EBIT </t>
  </si>
  <si>
    <t xml:space="preserve">Margin Tax Rate </t>
  </si>
  <si>
    <t>EBIT (1-TAX)</t>
  </si>
  <si>
    <t xml:space="preserve">Reinvestment </t>
  </si>
  <si>
    <t xml:space="preserve">Reinvestment  Rate </t>
  </si>
  <si>
    <t xml:space="preserve">5 Year Average </t>
  </si>
  <si>
    <t xml:space="preserve">5 Year Median </t>
  </si>
  <si>
    <t xml:space="preserve">Calculation of Growth Rate </t>
  </si>
  <si>
    <t xml:space="preserve">Reinvestment Rate </t>
  </si>
  <si>
    <t xml:space="preserve">Intrinsic Growth </t>
  </si>
  <si>
    <t xml:space="preserve">Calculation  of PV of FCFF </t>
  </si>
  <si>
    <t xml:space="preserve">Tax rate </t>
  </si>
  <si>
    <t>EBIT ( 1- TAX )</t>
  </si>
  <si>
    <t>LESS : Reinvestment rate</t>
  </si>
  <si>
    <t xml:space="preserve">Free Cash Flow Statement </t>
  </si>
  <si>
    <t xml:space="preserve">Mid Year Convention </t>
  </si>
  <si>
    <t xml:space="preserve">Discount Factor </t>
  </si>
  <si>
    <t>PV OF FCFF</t>
  </si>
  <si>
    <t xml:space="preserve">Expected Growth </t>
  </si>
  <si>
    <t xml:space="preserve">Terminal Growth </t>
  </si>
  <si>
    <t xml:space="preserve">WACC </t>
  </si>
  <si>
    <t>FCFF (N+1)</t>
  </si>
  <si>
    <t>WACC</t>
  </si>
  <si>
    <t xml:space="preserve">Termial Growth rate </t>
  </si>
  <si>
    <t>Termial Value</t>
  </si>
  <si>
    <t xml:space="preserve">Caluclatio of Equity Value per Share </t>
  </si>
  <si>
    <t xml:space="preserve">PV OF FCFF </t>
  </si>
  <si>
    <t xml:space="preserve">PV  of Termimal Value </t>
  </si>
  <si>
    <t xml:space="preserve">Value of Operation Asset </t>
  </si>
  <si>
    <t xml:space="preserve">Add : Cash </t>
  </si>
  <si>
    <t xml:space="preserve">Less : Debt </t>
  </si>
  <si>
    <t xml:space="preserve">Value of Equity </t>
  </si>
  <si>
    <t xml:space="preserve">No of Share </t>
  </si>
  <si>
    <t xml:space="preserve">Equity Value per Share </t>
  </si>
  <si>
    <t xml:space="preserve">Share Price </t>
  </si>
  <si>
    <t xml:space="preserve">Discount/Premium </t>
  </si>
  <si>
    <t>Liquidity ratios</t>
  </si>
  <si>
    <t>Current ratio</t>
  </si>
  <si>
    <t>Quick (acid test) ratio</t>
  </si>
  <si>
    <t xml:space="preserve">Cash ratio </t>
  </si>
  <si>
    <t>Efficiency ratios</t>
  </si>
  <si>
    <t>Asset turnover ratio</t>
  </si>
  <si>
    <t>Fixed asset turnover ratio</t>
  </si>
  <si>
    <t>Working Capital ratio</t>
  </si>
  <si>
    <t xml:space="preserve">Payable ratio </t>
  </si>
  <si>
    <t>Profitability ratios</t>
  </si>
  <si>
    <t>Gross profit ratio</t>
  </si>
  <si>
    <t>Overhead ratio</t>
  </si>
  <si>
    <t>Return on sales</t>
  </si>
  <si>
    <t>Net profit ratio</t>
  </si>
  <si>
    <t>Return on capital employed</t>
  </si>
  <si>
    <t>Activity ratios</t>
  </si>
  <si>
    <t>Accounts receivable days</t>
  </si>
  <si>
    <t xml:space="preserve">Payable days </t>
  </si>
  <si>
    <t xml:space="preserve">Working Capital </t>
  </si>
  <si>
    <t xml:space="preserve">Receivable ratio </t>
  </si>
  <si>
    <t xml:space="preserve">Income Statement </t>
  </si>
  <si>
    <t>Balance Sheet</t>
  </si>
  <si>
    <t>Ratio Analysis</t>
  </si>
  <si>
    <t>Weight Average Cost of Capital</t>
  </si>
  <si>
    <t xml:space="preserve">Profit &amp; Loss Statement </t>
  </si>
  <si>
    <t>Discounted Cash Flow Model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</si>
</sst>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General\ &quot;A&quot;"/>
    <numFmt numFmtId="165" formatCode="General\ &quot;E&quot;"/>
    <numFmt numFmtId="166" formatCode="0.00000%"/>
    <numFmt numFmtId="167" formatCode="0.000000000000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0"/>
      <color theme="0"/>
      <name val="Arial"/>
      <family val="2"/>
    </font>
    <font>
      <sz val="10"/>
      <color theme="0"/>
      <name val="Arial"/>
      <family val="2"/>
    </font>
    <font>
      <b/>
      <sz val="28"/>
      <color theme="0"/>
      <name val="Antique Olive Compact"/>
      <family val="2"/>
    </font>
    <font>
      <b/>
      <sz val="20"/>
      <color theme="0"/>
      <name val="Antique Olive Compact"/>
      <family val="2"/>
    </font>
    <font>
      <b/>
      <sz val="20"/>
      <color theme="1"/>
      <name val="Albertus Extra Bold"/>
      <family val="2"/>
    </font>
    <font>
      <b/>
      <sz val="20"/>
      <color theme="0"/>
      <name val="Albertus Extra Bold"/>
      <family val="2"/>
    </font>
    <font>
      <b/>
      <sz val="16"/>
      <color theme="0"/>
      <name val="Albertus Extra Bold"/>
      <family val="2"/>
    </font>
    <font>
      <b/>
      <sz val="20"/>
      <color theme="0"/>
      <name val="Albertu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1">
    <xf numFmtId="0" fontId="0" fillId="0" borderId="0" xfId="0"/>
    <xf numFmtId="4" fontId="0" fillId="0" borderId="0" xfId="0" applyNumberFormat="1"/>
    <xf numFmtId="0" fontId="2" fillId="2" borderId="0" xfId="0" applyFont="1" applyFill="1"/>
    <xf numFmtId="17" fontId="3" fillId="2" borderId="0" xfId="0" applyNumberFormat="1" applyFont="1" applyFill="1"/>
    <xf numFmtId="0" fontId="3" fillId="2" borderId="0" xfId="0" applyFont="1" applyFill="1"/>
    <xf numFmtId="0" fontId="6" fillId="0" borderId="1" xfId="0" applyFont="1" applyBorder="1"/>
    <xf numFmtId="0" fontId="0" fillId="0" borderId="1" xfId="0" applyBorder="1"/>
    <xf numFmtId="9" fontId="0" fillId="0" borderId="0" xfId="2" applyFont="1"/>
    <xf numFmtId="17" fontId="2" fillId="2" borderId="0" xfId="0" applyNumberFormat="1" applyFont="1" applyFill="1"/>
    <xf numFmtId="0" fontId="1" fillId="0" borderId="0" xfId="0" applyFont="1"/>
    <xf numFmtId="0" fontId="3" fillId="3" borderId="0" xfId="0" applyFont="1" applyFill="1" applyAlignment="1">
      <alignment horizontal="center"/>
    </xf>
    <xf numFmtId="0" fontId="8" fillId="0" borderId="0" xfId="0" applyFont="1"/>
    <xf numFmtId="0" fontId="3" fillId="2" borderId="3" xfId="0" applyFont="1" applyFill="1" applyBorder="1"/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3" fontId="0" fillId="0" borderId="4" xfId="0" applyNumberFormat="1" applyBorder="1"/>
    <xf numFmtId="0" fontId="2" fillId="2" borderId="4" xfId="0" applyFont="1" applyFill="1" applyBorder="1"/>
    <xf numFmtId="17" fontId="3" fillId="2" borderId="4" xfId="0" applyNumberFormat="1" applyFont="1" applyFill="1" applyBorder="1"/>
    <xf numFmtId="0" fontId="1" fillId="0" borderId="4" xfId="0" applyFont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4" fontId="3" fillId="2" borderId="4" xfId="0" applyNumberFormat="1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3" fillId="0" borderId="0" xfId="0" applyFont="1"/>
    <xf numFmtId="0" fontId="9" fillId="2" borderId="4" xfId="0" applyNumberFormat="1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0" fillId="0" borderId="4" xfId="0" applyFont="1" applyBorder="1"/>
    <xf numFmtId="3" fontId="0" fillId="0" borderId="4" xfId="0" applyNumberFormat="1" applyFont="1" applyBorder="1"/>
    <xf numFmtId="9" fontId="0" fillId="0" borderId="4" xfId="0" applyNumberFormat="1" applyFont="1" applyBorder="1"/>
    <xf numFmtId="2" fontId="0" fillId="0" borderId="4" xfId="0" applyNumberFormat="1" applyBorder="1"/>
    <xf numFmtId="4" fontId="0" fillId="0" borderId="4" xfId="0" applyNumberFormat="1" applyFont="1" applyBorder="1"/>
    <xf numFmtId="10" fontId="0" fillId="0" borderId="4" xfId="0" applyNumberFormat="1" applyBorder="1"/>
    <xf numFmtId="9" fontId="0" fillId="0" borderId="4" xfId="0" applyNumberFormat="1" applyBorder="1"/>
    <xf numFmtId="10" fontId="3" fillId="2" borderId="4" xfId="0" applyNumberFormat="1" applyFont="1" applyFill="1" applyBorder="1"/>
    <xf numFmtId="0" fontId="0" fillId="0" borderId="6" xfId="0" applyBorder="1"/>
    <xf numFmtId="10" fontId="0" fillId="0" borderId="6" xfId="0" applyNumberFormat="1" applyBorder="1"/>
    <xf numFmtId="9" fontId="0" fillId="0" borderId="6" xfId="0" applyNumberFormat="1" applyBorder="1"/>
    <xf numFmtId="10" fontId="3" fillId="2" borderId="6" xfId="0" applyNumberFormat="1" applyFont="1" applyFill="1" applyBorder="1"/>
    <xf numFmtId="0" fontId="0" fillId="0" borderId="6" xfId="0" applyBorder="1" applyAlignment="1">
      <alignment horizontal="right"/>
    </xf>
    <xf numFmtId="0" fontId="1" fillId="0" borderId="6" xfId="0" applyFont="1" applyBorder="1" applyAlignment="1">
      <alignment horizontal="right"/>
    </xf>
    <xf numFmtId="43" fontId="0" fillId="0" borderId="6" xfId="1" applyFont="1" applyBorder="1"/>
    <xf numFmtId="9" fontId="0" fillId="0" borderId="6" xfId="2" applyFont="1" applyBorder="1"/>
    <xf numFmtId="4" fontId="2" fillId="2" borderId="4" xfId="0" applyNumberFormat="1" applyFont="1" applyFill="1" applyBorder="1"/>
    <xf numFmtId="0" fontId="1" fillId="3" borderId="4" xfId="0" applyFont="1" applyFill="1" applyBorder="1"/>
    <xf numFmtId="4" fontId="0" fillId="3" borderId="4" xfId="0" applyNumberFormat="1" applyFont="1" applyFill="1" applyBorder="1"/>
    <xf numFmtId="2" fontId="3" fillId="2" borderId="4" xfId="0" applyNumberFormat="1" applyFont="1" applyFill="1" applyBorder="1"/>
    <xf numFmtId="10" fontId="0" fillId="0" borderId="4" xfId="2" applyNumberFormat="1" applyFont="1" applyBorder="1"/>
    <xf numFmtId="9" fontId="2" fillId="2" borderId="4" xfId="2" applyFont="1" applyFill="1" applyBorder="1"/>
    <xf numFmtId="9" fontId="3" fillId="2" borderId="4" xfId="0" applyNumberFormat="1" applyFont="1" applyFill="1" applyBorder="1"/>
    <xf numFmtId="164" fontId="3" fillId="2" borderId="4" xfId="0" applyNumberFormat="1" applyFont="1" applyFill="1" applyBorder="1"/>
    <xf numFmtId="165" fontId="3" fillId="2" borderId="4" xfId="0" applyNumberFormat="1" applyFont="1" applyFill="1" applyBorder="1"/>
    <xf numFmtId="0" fontId="0" fillId="4" borderId="4" xfId="0" applyFill="1" applyBorder="1"/>
    <xf numFmtId="4" fontId="0" fillId="4" borderId="4" xfId="0" applyNumberFormat="1" applyFill="1" applyBorder="1"/>
    <xf numFmtId="10" fontId="0" fillId="4" borderId="4" xfId="0" applyNumberFormat="1" applyFill="1" applyBorder="1"/>
    <xf numFmtId="0" fontId="3" fillId="2" borderId="0" xfId="0" applyFont="1" applyFill="1" applyBorder="1" applyAlignment="1">
      <alignment horizontal="center"/>
    </xf>
    <xf numFmtId="166" fontId="3" fillId="2" borderId="4" xfId="0" applyNumberFormat="1" applyFont="1" applyFill="1" applyBorder="1"/>
    <xf numFmtId="166" fontId="0" fillId="0" borderId="4" xfId="0" applyNumberFormat="1" applyBorder="1"/>
    <xf numFmtId="0" fontId="0" fillId="3" borderId="4" xfId="0" applyFont="1" applyFill="1" applyBorder="1"/>
    <xf numFmtId="0" fontId="1" fillId="0" borderId="4" xfId="0" applyFont="1" applyBorder="1"/>
    <xf numFmtId="167" fontId="3" fillId="2" borderId="4" xfId="0" applyNumberFormat="1" applyFont="1" applyFill="1" applyBorder="1"/>
    <xf numFmtId="9" fontId="3" fillId="2" borderId="4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812800</xdr:colOff>
      <xdr:row>5</xdr:row>
      <xdr:rowOff>76200</xdr:rowOff>
    </xdr:to>
    <xdr:sp macro="" textlink="">
      <xdr:nvSpPr>
        <xdr:cNvPr id="1025" name="AutoShape 1" descr="infosys-logo.png.original - ERS Biometrics"/>
        <xdr:cNvSpPr>
          <a:spLocks noChangeAspect="1" noChangeArrowheads="1"/>
        </xdr:cNvSpPr>
      </xdr:nvSpPr>
      <xdr:spPr bwMode="auto">
        <a:xfrm>
          <a:off x="609600" y="184150"/>
          <a:ext cx="812800" cy="812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26" name="AutoShape 2" descr="infosys-logo.png.original - ERS Biometrics"/>
        <xdr:cNvSpPr>
          <a:spLocks noChangeAspect="1" noChangeArrowheads="1"/>
        </xdr:cNvSpPr>
      </xdr:nvSpPr>
      <xdr:spPr bwMode="auto">
        <a:xfrm>
          <a:off x="609600" y="18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177800</xdr:colOff>
      <xdr:row>0</xdr:row>
      <xdr:rowOff>6350</xdr:rowOff>
    </xdr:from>
    <xdr:to>
      <xdr:col>2</xdr:col>
      <xdr:colOff>21866</xdr:colOff>
      <xdr:row>10</xdr:row>
      <xdr:rowOff>82549</xdr:rowOff>
    </xdr:to>
    <xdr:pic>
      <xdr:nvPicPr>
        <xdr:cNvPr id="1027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7800" y="6350"/>
          <a:ext cx="5609866" cy="19176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129816</xdr:colOff>
      <xdr:row>10</xdr:row>
      <xdr:rowOff>76199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609866" cy="191769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</xdr:rowOff>
    </xdr:from>
    <xdr:to>
      <xdr:col>4</xdr:col>
      <xdr:colOff>609600</xdr:colOff>
      <xdr:row>9</xdr:row>
      <xdr:rowOff>19051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1350" y="1"/>
          <a:ext cx="5257800" cy="1676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0</xdr:row>
      <xdr:rowOff>0</xdr:rowOff>
    </xdr:from>
    <xdr:to>
      <xdr:col>7</xdr:col>
      <xdr:colOff>558800</xdr:colOff>
      <xdr:row>9</xdr:row>
      <xdr:rowOff>122632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4200" y="0"/>
          <a:ext cx="5207000" cy="177998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520700</xdr:colOff>
      <xdr:row>8</xdr:row>
      <xdr:rowOff>25401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"/>
          <a:ext cx="5238750" cy="14986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0</xdr:rowOff>
    </xdr:from>
    <xdr:to>
      <xdr:col>5</xdr:col>
      <xdr:colOff>527050</xdr:colOff>
      <xdr:row>9</xdr:row>
      <xdr:rowOff>35803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0550" y="0"/>
          <a:ext cx="4953000" cy="169315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0</xdr:row>
      <xdr:rowOff>0</xdr:rowOff>
    </xdr:from>
    <xdr:to>
      <xdr:col>5</xdr:col>
      <xdr:colOff>206016</xdr:colOff>
      <xdr:row>8</xdr:row>
      <xdr:rowOff>69850</xdr:rowOff>
    </xdr:to>
    <xdr:pic>
      <xdr:nvPicPr>
        <xdr:cNvPr id="2" name="Picture 3" descr="infosys-logo.png.original - ERS Biometric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5950" y="0"/>
          <a:ext cx="5609866" cy="1543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B12:H88"/>
  <sheetViews>
    <sheetView showGridLines="0" topLeftCell="A55" workbookViewId="0">
      <selection activeCell="H11" sqref="H11"/>
    </sheetView>
  </sheetViews>
  <sheetFormatPr defaultRowHeight="14.5"/>
  <cols>
    <col min="1" max="1" width="1.81640625" customWidth="1"/>
    <col min="2" max="2" width="80" bestFit="1" customWidth="1"/>
    <col min="3" max="7" width="10.26953125" bestFit="1" customWidth="1"/>
    <col min="10" max="10" width="8.81640625" customWidth="1"/>
    <col min="11" max="14" width="10.26953125" bestFit="1" customWidth="1"/>
  </cols>
  <sheetData>
    <row r="12" spans="2:8" ht="25.5">
      <c r="B12" s="30" t="s">
        <v>279</v>
      </c>
      <c r="C12" s="30"/>
      <c r="D12" s="30"/>
      <c r="E12" s="30"/>
      <c r="F12" s="30"/>
      <c r="G12" s="30"/>
    </row>
    <row r="13" spans="2:8">
      <c r="B13" s="2" t="s">
        <v>66</v>
      </c>
      <c r="C13" s="8">
        <v>44256</v>
      </c>
      <c r="D13" s="8">
        <v>44621</v>
      </c>
      <c r="E13" s="8">
        <v>44986</v>
      </c>
      <c r="F13" s="8">
        <v>45352</v>
      </c>
      <c r="G13" s="8">
        <v>45717</v>
      </c>
      <c r="H13" t="s">
        <v>0</v>
      </c>
    </row>
    <row r="14" spans="2:8" ht="15" thickBot="1">
      <c r="B14" t="s">
        <v>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0</v>
      </c>
    </row>
    <row r="15" spans="2:8" ht="15" thickBot="1">
      <c r="B15" s="15" t="s">
        <v>2</v>
      </c>
      <c r="C15" s="15"/>
      <c r="D15" s="15"/>
      <c r="E15" s="15"/>
      <c r="F15" s="15"/>
      <c r="G15" s="15"/>
      <c r="H15" t="s">
        <v>0</v>
      </c>
    </row>
    <row r="16" spans="2:8" ht="15" thickBot="1">
      <c r="B16" s="15" t="s">
        <v>3</v>
      </c>
      <c r="C16" s="16">
        <v>85912</v>
      </c>
      <c r="D16" s="16">
        <v>103940</v>
      </c>
      <c r="E16" s="16">
        <v>124014</v>
      </c>
      <c r="F16" s="16">
        <v>128933</v>
      </c>
      <c r="G16" s="16">
        <v>136592</v>
      </c>
      <c r="H16" t="s">
        <v>0</v>
      </c>
    </row>
    <row r="17" spans="2:8" ht="15" thickBot="1">
      <c r="B17" s="15" t="s">
        <v>4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t="s">
        <v>0</v>
      </c>
    </row>
    <row r="18" spans="2:8" ht="15" thickBot="1">
      <c r="B18" s="15" t="s">
        <v>5</v>
      </c>
      <c r="C18" s="16">
        <v>85912</v>
      </c>
      <c r="D18" s="16">
        <v>103940</v>
      </c>
      <c r="E18" s="16">
        <v>124014</v>
      </c>
      <c r="F18" s="16">
        <v>128933</v>
      </c>
      <c r="G18" s="16">
        <v>136592</v>
      </c>
      <c r="H18" t="s">
        <v>0</v>
      </c>
    </row>
    <row r="19" spans="2:8" ht="15" thickBot="1">
      <c r="B19" s="15" t="s">
        <v>6</v>
      </c>
      <c r="C19" s="16">
        <v>85912</v>
      </c>
      <c r="D19" s="16">
        <v>103940</v>
      </c>
      <c r="E19" s="16">
        <v>124014</v>
      </c>
      <c r="F19" s="16">
        <v>128933</v>
      </c>
      <c r="G19" s="16">
        <v>136592</v>
      </c>
      <c r="H19" t="s">
        <v>0</v>
      </c>
    </row>
    <row r="20" spans="2:8" ht="15" thickBot="1">
      <c r="B20" s="15" t="s">
        <v>7</v>
      </c>
      <c r="C20" s="16">
        <v>2467</v>
      </c>
      <c r="D20" s="16">
        <v>3224</v>
      </c>
      <c r="E20" s="16">
        <v>3859</v>
      </c>
      <c r="F20" s="16">
        <v>7417</v>
      </c>
      <c r="G20" s="16">
        <v>4782</v>
      </c>
      <c r="H20" t="s">
        <v>0</v>
      </c>
    </row>
    <row r="21" spans="2:8" ht="15" thickBot="1">
      <c r="B21" s="15" t="s">
        <v>8</v>
      </c>
      <c r="C21" s="16">
        <v>88379</v>
      </c>
      <c r="D21" s="16">
        <v>107164</v>
      </c>
      <c r="E21" s="16">
        <v>127873</v>
      </c>
      <c r="F21" s="16">
        <v>136350</v>
      </c>
      <c r="G21" s="16">
        <v>141374</v>
      </c>
      <c r="H21" t="s">
        <v>0</v>
      </c>
    </row>
    <row r="22" spans="2:8" ht="15" thickBot="1">
      <c r="B22" s="15" t="s">
        <v>9</v>
      </c>
      <c r="C22" s="15"/>
      <c r="D22" s="15"/>
      <c r="E22" s="15"/>
      <c r="F22" s="15"/>
      <c r="G22" s="15"/>
      <c r="H22" t="s">
        <v>0</v>
      </c>
    </row>
    <row r="23" spans="2:8" ht="15" thickBot="1">
      <c r="B23" s="15" t="s">
        <v>10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t="s">
        <v>0</v>
      </c>
    </row>
    <row r="24" spans="2:8" ht="15" thickBot="1">
      <c r="B24" s="15" t="s">
        <v>11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t="s">
        <v>0</v>
      </c>
    </row>
    <row r="25" spans="2:8" ht="15" thickBot="1">
      <c r="B25" s="15" t="s">
        <v>12</v>
      </c>
      <c r="C25" s="16">
        <v>13533</v>
      </c>
      <c r="D25" s="16">
        <v>21958</v>
      </c>
      <c r="E25" s="16">
        <v>27275</v>
      </c>
      <c r="F25" s="16">
        <v>28449</v>
      </c>
      <c r="G25" s="16">
        <v>32130</v>
      </c>
      <c r="H25" t="s">
        <v>0</v>
      </c>
    </row>
    <row r="26" spans="2:8" ht="15" thickBot="1">
      <c r="B26" s="15" t="s">
        <v>13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t="s">
        <v>0</v>
      </c>
    </row>
    <row r="27" spans="2:8" ht="15" thickBot="1">
      <c r="B27" s="15" t="s">
        <v>14</v>
      </c>
      <c r="C27" s="16">
        <v>45179</v>
      </c>
      <c r="D27" s="16">
        <v>51664</v>
      </c>
      <c r="E27" s="16">
        <v>62764</v>
      </c>
      <c r="F27" s="16">
        <v>65139</v>
      </c>
      <c r="G27" s="16">
        <v>67466</v>
      </c>
      <c r="H27" t="s">
        <v>0</v>
      </c>
    </row>
    <row r="28" spans="2:8" ht="15" thickBot="1">
      <c r="B28" s="15" t="s">
        <v>15</v>
      </c>
      <c r="C28" s="15">
        <v>126</v>
      </c>
      <c r="D28" s="15">
        <v>128</v>
      </c>
      <c r="E28" s="15">
        <v>157</v>
      </c>
      <c r="F28" s="15">
        <v>277</v>
      </c>
      <c r="G28" s="15">
        <v>221</v>
      </c>
      <c r="H28" t="s">
        <v>0</v>
      </c>
    </row>
    <row r="29" spans="2:8" ht="15" thickBot="1">
      <c r="B29" s="15" t="s">
        <v>16</v>
      </c>
      <c r="C29" s="16">
        <v>2321</v>
      </c>
      <c r="D29" s="16">
        <v>2429</v>
      </c>
      <c r="E29" s="16">
        <v>2753</v>
      </c>
      <c r="F29" s="16">
        <v>2944</v>
      </c>
      <c r="G29" s="16">
        <v>2619</v>
      </c>
      <c r="H29" t="s">
        <v>0</v>
      </c>
    </row>
    <row r="30" spans="2:8" ht="15" thickBot="1">
      <c r="B30" s="15" t="s">
        <v>17</v>
      </c>
      <c r="C30" s="16">
        <v>2743</v>
      </c>
      <c r="D30" s="16">
        <v>2490</v>
      </c>
      <c r="E30" s="16">
        <v>3281</v>
      </c>
      <c r="F30" s="16">
        <v>3588</v>
      </c>
      <c r="G30" s="16">
        <v>3497</v>
      </c>
      <c r="H30" t="s">
        <v>0</v>
      </c>
    </row>
    <row r="31" spans="2:8" ht="15" thickBot="1">
      <c r="B31" s="15" t="s">
        <v>18</v>
      </c>
      <c r="C31" s="16">
        <v>63902</v>
      </c>
      <c r="D31" s="16">
        <v>78669</v>
      </c>
      <c r="E31" s="16">
        <v>96230</v>
      </c>
      <c r="F31" s="16">
        <v>100397</v>
      </c>
      <c r="G31" s="16">
        <v>105933</v>
      </c>
      <c r="H31" t="s">
        <v>0</v>
      </c>
    </row>
    <row r="32" spans="2:8" ht="15" thickBot="1">
      <c r="B32" s="15" t="s">
        <v>19</v>
      </c>
      <c r="C32" s="16">
        <v>24477</v>
      </c>
      <c r="D32" s="16">
        <v>28495</v>
      </c>
      <c r="E32" s="16">
        <v>31643</v>
      </c>
      <c r="F32" s="16">
        <v>35953</v>
      </c>
      <c r="G32" s="16">
        <v>35441</v>
      </c>
      <c r="H32" t="s">
        <v>0</v>
      </c>
    </row>
    <row r="33" spans="2:8" ht="15" thickBot="1">
      <c r="B33" s="15" t="s">
        <v>20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t="s">
        <v>0</v>
      </c>
    </row>
    <row r="34" spans="2:8" ht="15" thickBot="1">
      <c r="B34" s="15" t="s">
        <v>21</v>
      </c>
      <c r="C34" s="16">
        <v>24477</v>
      </c>
      <c r="D34" s="16">
        <v>28495</v>
      </c>
      <c r="E34" s="16">
        <v>31643</v>
      </c>
      <c r="F34" s="16">
        <v>35953</v>
      </c>
      <c r="G34" s="16">
        <v>35441</v>
      </c>
      <c r="H34" t="s">
        <v>0</v>
      </c>
    </row>
    <row r="35" spans="2:8" ht="15" thickBot="1">
      <c r="B35" s="15" t="s">
        <v>22</v>
      </c>
      <c r="C35" s="15"/>
      <c r="D35" s="15"/>
      <c r="E35" s="15"/>
      <c r="F35" s="15"/>
      <c r="G35" s="15"/>
      <c r="H35" t="s">
        <v>0</v>
      </c>
    </row>
    <row r="36" spans="2:8" ht="15" thickBot="1">
      <c r="B36" s="15" t="s">
        <v>23</v>
      </c>
      <c r="C36" s="16">
        <v>6013</v>
      </c>
      <c r="D36" s="16">
        <v>6960</v>
      </c>
      <c r="E36" s="16">
        <v>8167</v>
      </c>
      <c r="F36" s="16">
        <v>7306</v>
      </c>
      <c r="G36" s="16">
        <v>10836</v>
      </c>
      <c r="H36" t="s">
        <v>0</v>
      </c>
    </row>
    <row r="37" spans="2:8" ht="15" thickBot="1">
      <c r="B37" s="15" t="s">
        <v>24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t="s">
        <v>0</v>
      </c>
    </row>
    <row r="38" spans="2:8" ht="15" thickBot="1">
      <c r="B38" s="15" t="s">
        <v>25</v>
      </c>
      <c r="C38" s="15">
        <v>416</v>
      </c>
      <c r="D38" s="15">
        <v>300</v>
      </c>
      <c r="E38" s="15">
        <v>208</v>
      </c>
      <c r="F38" s="16">
        <v>1413</v>
      </c>
      <c r="G38" s="15">
        <v>-963</v>
      </c>
      <c r="H38" t="s">
        <v>0</v>
      </c>
    </row>
    <row r="39" spans="2:8" ht="15" thickBot="1">
      <c r="B39" s="15" t="s">
        <v>26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t="s">
        <v>0</v>
      </c>
    </row>
    <row r="40" spans="2:8" ht="15" thickBot="1">
      <c r="B40" s="15" t="s">
        <v>27</v>
      </c>
      <c r="C40" s="16">
        <v>6429</v>
      </c>
      <c r="D40" s="16">
        <v>7260</v>
      </c>
      <c r="E40" s="16">
        <v>8375</v>
      </c>
      <c r="F40" s="16">
        <v>8719</v>
      </c>
      <c r="G40" s="16">
        <v>9873</v>
      </c>
      <c r="H40" t="s">
        <v>0</v>
      </c>
    </row>
    <row r="41" spans="2:8" ht="15" thickBot="1">
      <c r="B41" s="15" t="s">
        <v>28</v>
      </c>
      <c r="C41" s="16">
        <v>18048</v>
      </c>
      <c r="D41" s="16">
        <v>21235</v>
      </c>
      <c r="E41" s="16">
        <v>23268</v>
      </c>
      <c r="F41" s="16">
        <v>27234</v>
      </c>
      <c r="G41" s="16">
        <v>25568</v>
      </c>
      <c r="H41" t="s">
        <v>0</v>
      </c>
    </row>
    <row r="42" spans="2:8" ht="15" thickBot="1">
      <c r="B42" s="15" t="s">
        <v>29</v>
      </c>
      <c r="C42" s="16">
        <v>18048</v>
      </c>
      <c r="D42" s="16">
        <v>21235</v>
      </c>
      <c r="E42" s="16">
        <v>23268</v>
      </c>
      <c r="F42" s="16">
        <v>27234</v>
      </c>
      <c r="G42" s="16">
        <v>25568</v>
      </c>
      <c r="H42" t="s">
        <v>0</v>
      </c>
    </row>
    <row r="43" spans="2:8" ht="15" thickBot="1">
      <c r="B43" s="15" t="s">
        <v>30</v>
      </c>
      <c r="C43" s="16">
        <v>18048</v>
      </c>
      <c r="D43" s="16">
        <v>21235</v>
      </c>
      <c r="E43" s="16">
        <v>23268</v>
      </c>
      <c r="F43" s="16">
        <v>27234</v>
      </c>
      <c r="G43" s="16">
        <v>25568</v>
      </c>
      <c r="H43" t="s">
        <v>0</v>
      </c>
    </row>
    <row r="44" spans="2:8" ht="15" thickBot="1">
      <c r="B44" s="15" t="s">
        <v>31</v>
      </c>
      <c r="C44" s="15"/>
      <c r="D44" s="15"/>
      <c r="E44" s="15"/>
      <c r="F44" s="15"/>
      <c r="G44" s="15"/>
      <c r="H44" t="s">
        <v>0</v>
      </c>
    </row>
    <row r="45" spans="2:8" ht="15" thickBot="1">
      <c r="B45" s="15" t="s">
        <v>32</v>
      </c>
      <c r="C45" s="15"/>
      <c r="D45" s="15"/>
      <c r="E45" s="15"/>
      <c r="F45" s="15"/>
      <c r="G45" s="15"/>
      <c r="H45" t="s">
        <v>0</v>
      </c>
    </row>
    <row r="46" spans="2:8" ht="15" thickBot="1">
      <c r="B46" s="15" t="s">
        <v>33</v>
      </c>
      <c r="C46" s="15">
        <v>42.37</v>
      </c>
      <c r="D46" s="15">
        <v>50.27</v>
      </c>
      <c r="E46" s="15">
        <v>55.48</v>
      </c>
      <c r="F46" s="15">
        <v>65.62</v>
      </c>
      <c r="G46" s="15">
        <v>61.58</v>
      </c>
      <c r="H46" t="s">
        <v>0</v>
      </c>
    </row>
    <row r="47" spans="2:8" ht="15" thickBot="1">
      <c r="B47" s="15" t="s">
        <v>34</v>
      </c>
      <c r="C47" s="15">
        <v>42.33</v>
      </c>
      <c r="D47" s="15">
        <v>50.21</v>
      </c>
      <c r="E47" s="15">
        <v>55.42</v>
      </c>
      <c r="F47" s="15">
        <v>65.56</v>
      </c>
      <c r="G47" s="15">
        <v>61.46</v>
      </c>
      <c r="H47" t="s">
        <v>0</v>
      </c>
    </row>
    <row r="48" spans="2:8" ht="15" thickBot="1">
      <c r="B48" s="15" t="s">
        <v>35</v>
      </c>
      <c r="C48" s="15"/>
      <c r="D48" s="15"/>
      <c r="E48" s="15"/>
      <c r="F48" s="15"/>
      <c r="G48" s="15"/>
      <c r="H48" t="s">
        <v>0</v>
      </c>
    </row>
    <row r="49" spans="2:8" ht="15" thickBot="1">
      <c r="B49" s="15" t="s">
        <v>36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t="s">
        <v>0</v>
      </c>
    </row>
    <row r="50" spans="2:8" ht="15" thickBot="1">
      <c r="B50" s="15" t="s">
        <v>37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t="s">
        <v>0</v>
      </c>
    </row>
    <row r="51" spans="2:8" ht="15" thickBot="1">
      <c r="B51" s="15" t="s">
        <v>38</v>
      </c>
      <c r="C51" s="15"/>
      <c r="D51" s="15"/>
      <c r="E51" s="15"/>
      <c r="F51" s="15"/>
      <c r="G51" s="15"/>
      <c r="H51" t="s">
        <v>0</v>
      </c>
    </row>
    <row r="52" spans="2:8" ht="15" thickBot="1">
      <c r="B52" s="15" t="s">
        <v>39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t="s">
        <v>0</v>
      </c>
    </row>
    <row r="53" spans="2:8" ht="15" thickBot="1">
      <c r="B53" s="15" t="s">
        <v>40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t="s">
        <v>0</v>
      </c>
    </row>
    <row r="54" spans="2:8" ht="15" thickBot="1">
      <c r="B54" s="15" t="s">
        <v>41</v>
      </c>
      <c r="C54" s="15"/>
      <c r="D54" s="15"/>
      <c r="E54" s="15"/>
      <c r="F54" s="15"/>
      <c r="G54" s="15"/>
      <c r="H54" t="s">
        <v>0</v>
      </c>
    </row>
    <row r="55" spans="2:8" ht="15" thickBot="1">
      <c r="B55" s="15" t="s">
        <v>42</v>
      </c>
      <c r="C55" s="16">
        <v>9158</v>
      </c>
      <c r="D55" s="16">
        <v>12700</v>
      </c>
      <c r="E55" s="16">
        <v>13675</v>
      </c>
      <c r="F55" s="16">
        <v>14733</v>
      </c>
      <c r="G55" s="16">
        <v>20345</v>
      </c>
      <c r="H55" t="s">
        <v>0</v>
      </c>
    </row>
    <row r="56" spans="2:8" ht="15" thickBot="1">
      <c r="B56" s="15" t="s">
        <v>43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t="s">
        <v>0</v>
      </c>
    </row>
    <row r="57" spans="2:8" ht="15" thickBot="1">
      <c r="B57" s="15" t="s">
        <v>44</v>
      </c>
      <c r="C57" s="15">
        <v>540</v>
      </c>
      <c r="D57" s="15">
        <v>620</v>
      </c>
      <c r="E57" s="15">
        <v>680</v>
      </c>
      <c r="F57" s="15">
        <v>920</v>
      </c>
      <c r="G57" s="15">
        <v>860</v>
      </c>
    </row>
    <row r="59" spans="2:8" s="33" customFormat="1" ht="25.5">
      <c r="B59" s="30" t="s">
        <v>200</v>
      </c>
      <c r="C59" s="30"/>
      <c r="D59" s="30"/>
      <c r="E59" s="30"/>
      <c r="F59" s="30"/>
      <c r="G59" s="30"/>
    </row>
    <row r="60" spans="2:8">
      <c r="B60" s="9"/>
      <c r="C60" s="9"/>
      <c r="D60" s="9"/>
      <c r="E60" s="9"/>
      <c r="F60" s="9"/>
      <c r="G60" s="9"/>
    </row>
    <row r="61" spans="2:8" ht="15" thickBot="1">
      <c r="B61" s="2" t="s">
        <v>201</v>
      </c>
      <c r="C61" s="8">
        <v>44256</v>
      </c>
      <c r="D61" s="8">
        <v>44621</v>
      </c>
      <c r="E61" s="8">
        <v>44986</v>
      </c>
      <c r="F61" s="8">
        <v>45352</v>
      </c>
      <c r="G61" s="8">
        <v>45717</v>
      </c>
    </row>
    <row r="62" spans="2:8" ht="15" thickBot="1">
      <c r="B62" s="15" t="s">
        <v>197</v>
      </c>
      <c r="C62" s="17">
        <v>23224</v>
      </c>
      <c r="D62" s="17">
        <v>23885</v>
      </c>
      <c r="E62" s="17">
        <v>22467</v>
      </c>
      <c r="F62" s="17">
        <v>25210</v>
      </c>
      <c r="G62" s="17">
        <v>35694</v>
      </c>
    </row>
    <row r="63" spans="2:8" ht="15" thickBot="1">
      <c r="B63" s="15" t="s">
        <v>175</v>
      </c>
      <c r="C63" s="17">
        <v>28845</v>
      </c>
      <c r="D63" s="17">
        <v>32921</v>
      </c>
      <c r="E63" s="17">
        <v>37605</v>
      </c>
      <c r="F63" s="17">
        <v>39523</v>
      </c>
      <c r="G63" s="17">
        <v>41591</v>
      </c>
    </row>
    <row r="64" spans="2:8" ht="15" thickBot="1">
      <c r="B64" s="15" t="s">
        <v>176</v>
      </c>
      <c r="C64" s="17">
        <v>-1835</v>
      </c>
      <c r="D64" s="17">
        <v>-7937</v>
      </c>
      <c r="E64" s="17">
        <v>-7076</v>
      </c>
      <c r="F64" s="17">
        <v>-2667</v>
      </c>
      <c r="G64" s="17">
        <v>-1769</v>
      </c>
    </row>
    <row r="65" spans="2:7" ht="15" thickBot="1">
      <c r="B65" s="15" t="s">
        <v>177</v>
      </c>
      <c r="C65" s="15">
        <v>-245</v>
      </c>
      <c r="D65" s="17">
        <v>1489</v>
      </c>
      <c r="E65" s="15">
        <v>-279</v>
      </c>
      <c r="F65" s="15">
        <v>91</v>
      </c>
      <c r="G65" s="15">
        <v>176</v>
      </c>
    </row>
    <row r="66" spans="2:7" ht="15" thickBot="1">
      <c r="B66" s="15" t="s">
        <v>178</v>
      </c>
      <c r="C66" s="15">
        <v>-534</v>
      </c>
      <c r="D66" s="17">
        <v>-1914</v>
      </c>
      <c r="E66" s="17">
        <v>-3108</v>
      </c>
      <c r="F66" s="17">
        <v>-1172</v>
      </c>
      <c r="G66" s="17">
        <v>-1024</v>
      </c>
    </row>
    <row r="67" spans="2:7" ht="15" thickBot="1">
      <c r="B67" s="15" t="s">
        <v>179</v>
      </c>
      <c r="C67" s="17">
        <v>3382</v>
      </c>
      <c r="D67" s="17">
        <v>6938</v>
      </c>
      <c r="E67" s="17">
        <v>4119</v>
      </c>
      <c r="F67" s="17">
        <v>-1334</v>
      </c>
      <c r="G67" s="17">
        <v>2322</v>
      </c>
    </row>
    <row r="68" spans="2:7" ht="15" thickBot="1">
      <c r="B68" s="15" t="s">
        <v>180</v>
      </c>
      <c r="C68" s="15">
        <v>768</v>
      </c>
      <c r="D68" s="17">
        <v>-1424</v>
      </c>
      <c r="E68" s="17">
        <v>-6344</v>
      </c>
      <c r="F68" s="17">
        <v>-5082</v>
      </c>
      <c r="G68" s="15">
        <v>-295</v>
      </c>
    </row>
    <row r="69" spans="2:7" ht="15" thickBot="1">
      <c r="B69" s="15" t="s">
        <v>181</v>
      </c>
      <c r="C69" s="17">
        <v>-6389</v>
      </c>
      <c r="D69" s="17">
        <v>-7612</v>
      </c>
      <c r="E69" s="17">
        <v>-8794</v>
      </c>
      <c r="F69" s="17">
        <v>-9231</v>
      </c>
      <c r="G69" s="17">
        <v>-5602</v>
      </c>
    </row>
    <row r="70" spans="2:7" ht="15" thickBot="1">
      <c r="B70" s="15"/>
      <c r="C70" s="17"/>
      <c r="D70" s="17"/>
      <c r="E70" s="17"/>
      <c r="F70" s="17"/>
      <c r="G70" s="17"/>
    </row>
    <row r="71" spans="2:7" ht="15" thickBot="1">
      <c r="B71" s="15" t="s">
        <v>198</v>
      </c>
      <c r="C71" s="17">
        <v>-7373</v>
      </c>
      <c r="D71" s="17">
        <v>-6485</v>
      </c>
      <c r="E71" s="17">
        <v>-1071</v>
      </c>
      <c r="F71" s="17">
        <v>-5093</v>
      </c>
      <c r="G71" s="17">
        <v>-1864</v>
      </c>
    </row>
    <row r="72" spans="2:7" ht="15" thickBot="1">
      <c r="B72" s="15" t="s">
        <v>182</v>
      </c>
      <c r="C72" s="17">
        <v>-2107</v>
      </c>
      <c r="D72" s="17">
        <v>-2161</v>
      </c>
      <c r="E72" s="17">
        <v>-2579</v>
      </c>
      <c r="F72" s="17">
        <v>-2201</v>
      </c>
      <c r="G72" s="17">
        <v>-2237</v>
      </c>
    </row>
    <row r="73" spans="2:7" ht="15" thickBot="1">
      <c r="B73" s="15" t="s">
        <v>183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</row>
    <row r="74" spans="2:7" ht="15" thickBot="1">
      <c r="B74" s="15" t="s">
        <v>184</v>
      </c>
      <c r="C74" s="17">
        <v>-46738</v>
      </c>
      <c r="D74" s="17">
        <v>-59951</v>
      </c>
      <c r="E74" s="17">
        <v>-75800</v>
      </c>
      <c r="F74" s="17">
        <v>-78118</v>
      </c>
      <c r="G74" s="17">
        <v>-82753</v>
      </c>
    </row>
    <row r="75" spans="2:7" ht="15" thickBot="1">
      <c r="B75" s="15" t="s">
        <v>185</v>
      </c>
      <c r="C75" s="17">
        <v>40381</v>
      </c>
      <c r="D75" s="17">
        <v>57356</v>
      </c>
      <c r="E75" s="17">
        <v>76722</v>
      </c>
      <c r="F75" s="17">
        <v>72956</v>
      </c>
      <c r="G75" s="17">
        <v>84888</v>
      </c>
    </row>
    <row r="76" spans="2:7" ht="15" thickBot="1">
      <c r="B76" s="15" t="s">
        <v>186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</row>
    <row r="77" spans="2:7" ht="15" thickBot="1">
      <c r="B77" s="15" t="s">
        <v>187</v>
      </c>
      <c r="C77" s="17">
        <v>1418</v>
      </c>
      <c r="D77" s="17">
        <v>1898</v>
      </c>
      <c r="E77" s="17">
        <v>1525</v>
      </c>
      <c r="F77" s="17">
        <v>1768</v>
      </c>
      <c r="G77" s="17">
        <v>2040</v>
      </c>
    </row>
    <row r="78" spans="2:7" ht="15" thickBot="1">
      <c r="B78" s="15" t="s">
        <v>188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</row>
    <row r="79" spans="2:7" ht="15" thickBot="1">
      <c r="B79" s="15" t="s">
        <v>189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</row>
    <row r="80" spans="2:7" ht="15" thickBot="1">
      <c r="B80" s="15" t="s">
        <v>190</v>
      </c>
      <c r="C80" s="15">
        <v>-327</v>
      </c>
      <c r="D80" s="17">
        <v>-3627</v>
      </c>
      <c r="E80" s="15">
        <v>-939</v>
      </c>
      <c r="F80" s="15">
        <v>502</v>
      </c>
      <c r="G80" s="17">
        <v>-3802</v>
      </c>
    </row>
    <row r="81" spans="2:7" ht="15" thickBot="1">
      <c r="B81" s="15"/>
      <c r="C81" s="15"/>
      <c r="D81" s="17"/>
      <c r="E81" s="15"/>
      <c r="F81" s="15"/>
      <c r="G81" s="17"/>
    </row>
    <row r="82" spans="2:7" ht="15" thickBot="1">
      <c r="B82" s="15" t="s">
        <v>199</v>
      </c>
      <c r="C82" s="17">
        <v>-9786</v>
      </c>
      <c r="D82" s="17">
        <v>-24642</v>
      </c>
      <c r="E82" s="17">
        <v>-26695</v>
      </c>
      <c r="F82" s="17">
        <v>-17504</v>
      </c>
      <c r="G82" s="17">
        <v>-24161</v>
      </c>
    </row>
    <row r="83" spans="2:7" ht="15" thickBot="1">
      <c r="B83" s="15" t="s">
        <v>191</v>
      </c>
      <c r="C83" s="15">
        <v>15</v>
      </c>
      <c r="D83" s="15">
        <v>21</v>
      </c>
      <c r="E83" s="15">
        <v>35</v>
      </c>
      <c r="F83" s="15">
        <v>5</v>
      </c>
      <c r="G83" s="15">
        <v>6</v>
      </c>
    </row>
    <row r="84" spans="2:7" ht="15" thickBot="1">
      <c r="B84" s="15" t="s">
        <v>192</v>
      </c>
      <c r="C84" s="15">
        <v>0</v>
      </c>
      <c r="D84" s="15">
        <v>0</v>
      </c>
      <c r="E84" s="15">
        <v>0</v>
      </c>
      <c r="F84" s="15">
        <v>0</v>
      </c>
      <c r="G84" s="15">
        <v>-985</v>
      </c>
    </row>
    <row r="85" spans="2:7" ht="15" thickBot="1">
      <c r="B85" s="15" t="s">
        <v>193</v>
      </c>
      <c r="C85" s="17">
        <v>-9137</v>
      </c>
      <c r="D85" s="17">
        <v>-12731</v>
      </c>
      <c r="E85" s="17">
        <v>-13653</v>
      </c>
      <c r="F85" s="17">
        <v>-14731</v>
      </c>
      <c r="G85" s="17">
        <v>-20289</v>
      </c>
    </row>
    <row r="86" spans="2:7" ht="15" thickBot="1">
      <c r="B86" s="15" t="s">
        <v>194</v>
      </c>
      <c r="C86" s="15">
        <v>-698</v>
      </c>
      <c r="D86" s="15">
        <v>-915</v>
      </c>
      <c r="E86" s="17">
        <v>-1231</v>
      </c>
      <c r="F86" s="17">
        <v>-2024</v>
      </c>
      <c r="G86" s="17">
        <v>-2355</v>
      </c>
    </row>
    <row r="87" spans="2:7" ht="15" thickBot="1">
      <c r="B87" s="15" t="s">
        <v>195</v>
      </c>
      <c r="C87" s="15">
        <v>34</v>
      </c>
      <c r="D87" s="17">
        <v>-11017</v>
      </c>
      <c r="E87" s="17">
        <v>-11846</v>
      </c>
      <c r="F87" s="15">
        <v>-754</v>
      </c>
      <c r="G87" s="15">
        <v>-538</v>
      </c>
    </row>
    <row r="88" spans="2:7" ht="15" thickBot="1">
      <c r="B88" s="15" t="s">
        <v>196</v>
      </c>
      <c r="C88" s="17">
        <v>6065</v>
      </c>
      <c r="D88" s="17">
        <v>-7242</v>
      </c>
      <c r="E88" s="17">
        <v>-5299</v>
      </c>
      <c r="F88" s="17">
        <v>2613</v>
      </c>
      <c r="G88" s="17">
        <v>9669</v>
      </c>
    </row>
  </sheetData>
  <mergeCells count="2">
    <mergeCell ref="B12:G12"/>
    <mergeCell ref="B59:G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B12:G38"/>
  <sheetViews>
    <sheetView showGridLines="0" topLeftCell="A7" workbookViewId="0">
      <selection activeCell="J15" sqref="J15"/>
    </sheetView>
  </sheetViews>
  <sheetFormatPr defaultRowHeight="14.5"/>
  <cols>
    <col min="1" max="1" width="1.81640625" customWidth="1"/>
    <col min="2" max="2" width="44.08984375" bestFit="1" customWidth="1"/>
    <col min="3" max="3" width="12" customWidth="1"/>
    <col min="4" max="7" width="10.26953125" bestFit="1" customWidth="1"/>
  </cols>
  <sheetData>
    <row r="12" spans="2:7" ht="25.5" thickBot="1">
      <c r="B12" s="32" t="s">
        <v>275</v>
      </c>
      <c r="C12" s="32"/>
      <c r="D12" s="32"/>
      <c r="E12" s="32"/>
      <c r="F12" s="32"/>
      <c r="G12" s="32"/>
    </row>
    <row r="13" spans="2:7" ht="15" thickBot="1">
      <c r="B13" s="18" t="s">
        <v>45</v>
      </c>
      <c r="C13" s="19">
        <v>44256</v>
      </c>
      <c r="D13" s="19">
        <v>44621</v>
      </c>
      <c r="E13" s="19">
        <v>44986</v>
      </c>
      <c r="F13" s="19">
        <v>45352</v>
      </c>
      <c r="G13" s="19">
        <v>45717</v>
      </c>
    </row>
    <row r="14" spans="2:7" ht="15" thickBot="1">
      <c r="B14" s="20" t="s">
        <v>46</v>
      </c>
      <c r="C14" s="15"/>
      <c r="D14" s="15"/>
      <c r="E14" s="15"/>
      <c r="F14" s="15"/>
      <c r="G14" s="15"/>
    </row>
    <row r="15" spans="2:7" ht="15" thickBot="1">
      <c r="B15" s="20" t="s">
        <v>47</v>
      </c>
      <c r="C15" s="16">
        <f>'Profit &amp; Loss Statement '!C18</f>
        <v>85912</v>
      </c>
      <c r="D15" s="16">
        <f>'Profit &amp; Loss Statement '!D18</f>
        <v>103940</v>
      </c>
      <c r="E15" s="16">
        <f>'Profit &amp; Loss Statement '!E18</f>
        <v>124014</v>
      </c>
      <c r="F15" s="16">
        <f>'Profit &amp; Loss Statement '!F18</f>
        <v>128933</v>
      </c>
      <c r="G15" s="16">
        <f>'Profit &amp; Loss Statement '!G18</f>
        <v>136592</v>
      </c>
    </row>
    <row r="16" spans="2:7" ht="15" thickBot="1">
      <c r="B16" s="20"/>
      <c r="C16" s="15"/>
      <c r="D16" s="15"/>
      <c r="E16" s="15"/>
      <c r="F16" s="15"/>
      <c r="G16" s="15"/>
    </row>
    <row r="17" spans="2:7" ht="15" thickBot="1">
      <c r="B17" s="20" t="s">
        <v>48</v>
      </c>
      <c r="C17" s="15">
        <f>SUM('Profit &amp; Loss Statement '!C24:C26)</f>
        <v>13533</v>
      </c>
      <c r="D17" s="15">
        <f>SUM('Profit &amp; Loss Statement '!D24:D26)</f>
        <v>21958</v>
      </c>
      <c r="E17" s="15">
        <f>SUM('Profit &amp; Loss Statement '!E24:E26)</f>
        <v>27275</v>
      </c>
      <c r="F17" s="15">
        <f>SUM('Profit &amp; Loss Statement '!F24:F26)</f>
        <v>28449</v>
      </c>
      <c r="G17" s="15">
        <f>SUM('Profit &amp; Loss Statement '!G24:G26)</f>
        <v>32130</v>
      </c>
    </row>
    <row r="18" spans="2:7" ht="15" thickBot="1">
      <c r="B18" s="20"/>
      <c r="C18" s="15"/>
      <c r="D18" s="15"/>
      <c r="E18" s="15"/>
      <c r="F18" s="15"/>
      <c r="G18" s="15"/>
    </row>
    <row r="19" spans="2:7" ht="15" thickBot="1">
      <c r="B19" s="21" t="s">
        <v>49</v>
      </c>
      <c r="C19" s="22">
        <f>C15-C17</f>
        <v>72379</v>
      </c>
      <c r="D19" s="22">
        <f>D15-D17</f>
        <v>81982</v>
      </c>
      <c r="E19" s="22">
        <f t="shared" ref="E19:G19" si="0">E15-E17</f>
        <v>96739</v>
      </c>
      <c r="F19" s="22">
        <f t="shared" si="0"/>
        <v>100484</v>
      </c>
      <c r="G19" s="22">
        <f t="shared" si="0"/>
        <v>104462</v>
      </c>
    </row>
    <row r="20" spans="2:7" ht="15" thickBot="1">
      <c r="B20" s="20" t="s">
        <v>50</v>
      </c>
      <c r="C20" s="15"/>
      <c r="D20" s="15"/>
      <c r="E20" s="15"/>
      <c r="F20" s="15"/>
      <c r="G20" s="15"/>
    </row>
    <row r="21" spans="2:7" ht="15" thickBot="1">
      <c r="B21" s="20" t="s">
        <v>51</v>
      </c>
      <c r="C21" s="16">
        <f>'Profit &amp; Loss Statement '!C27</f>
        <v>45179</v>
      </c>
      <c r="D21" s="16">
        <f>'Profit &amp; Loss Statement '!D27</f>
        <v>51664</v>
      </c>
      <c r="E21" s="16">
        <f>'Profit &amp; Loss Statement '!E27</f>
        <v>62764</v>
      </c>
      <c r="F21" s="16">
        <f>'Profit &amp; Loss Statement '!F27</f>
        <v>65139</v>
      </c>
      <c r="G21" s="16">
        <f>'Profit &amp; Loss Statement '!G27</f>
        <v>67466</v>
      </c>
    </row>
    <row r="22" spans="2:7" ht="15" thickBot="1">
      <c r="B22" s="20"/>
      <c r="C22" s="15"/>
      <c r="D22" s="15"/>
      <c r="E22" s="15"/>
      <c r="F22" s="15"/>
      <c r="G22" s="15"/>
    </row>
    <row r="23" spans="2:7" ht="15" thickBot="1">
      <c r="B23" s="20" t="s">
        <v>52</v>
      </c>
      <c r="C23" s="16">
        <f>'Profit &amp; Loss Statement '!C30</f>
        <v>2743</v>
      </c>
      <c r="D23" s="16">
        <f>'Profit &amp; Loss Statement '!D30</f>
        <v>2490</v>
      </c>
      <c r="E23" s="16">
        <f>'Profit &amp; Loss Statement '!E30</f>
        <v>3281</v>
      </c>
      <c r="F23" s="16">
        <f>'Profit &amp; Loss Statement '!F30</f>
        <v>3588</v>
      </c>
      <c r="G23" s="16">
        <f>'Profit &amp; Loss Statement '!G30</f>
        <v>3497</v>
      </c>
    </row>
    <row r="24" spans="2:7" ht="15" thickBot="1">
      <c r="B24" s="20"/>
      <c r="C24" s="15"/>
      <c r="D24" s="15"/>
      <c r="E24" s="15"/>
      <c r="F24" s="15"/>
      <c r="G24" s="15"/>
    </row>
    <row r="25" spans="2:7" ht="15" thickBot="1">
      <c r="B25" s="20" t="s">
        <v>53</v>
      </c>
      <c r="C25" s="16">
        <f>SUM(C21,C23)</f>
        <v>47922</v>
      </c>
      <c r="D25" s="16">
        <f t="shared" ref="D25:G25" si="1">SUM(D21,D23)</f>
        <v>54154</v>
      </c>
      <c r="E25" s="16">
        <f t="shared" si="1"/>
        <v>66045</v>
      </c>
      <c r="F25" s="16">
        <f t="shared" si="1"/>
        <v>68727</v>
      </c>
      <c r="G25" s="16">
        <f t="shared" si="1"/>
        <v>70963</v>
      </c>
    </row>
    <row r="26" spans="2:7" ht="15" thickBot="1">
      <c r="B26" s="20"/>
      <c r="C26" s="15"/>
      <c r="D26" s="15"/>
      <c r="E26" s="15"/>
      <c r="F26" s="15"/>
      <c r="G26" s="15"/>
    </row>
    <row r="27" spans="2:7" ht="15" thickBot="1">
      <c r="B27" s="21" t="s">
        <v>54</v>
      </c>
      <c r="C27" s="22">
        <f>C19-C25</f>
        <v>24457</v>
      </c>
      <c r="D27" s="22">
        <f t="shared" ref="D27:G27" si="2">D19-D25</f>
        <v>27828</v>
      </c>
      <c r="E27" s="22">
        <f t="shared" si="2"/>
        <v>30694</v>
      </c>
      <c r="F27" s="22">
        <f t="shared" si="2"/>
        <v>31757</v>
      </c>
      <c r="G27" s="22">
        <f t="shared" si="2"/>
        <v>33499</v>
      </c>
    </row>
    <row r="28" spans="2:7" ht="15" thickBot="1">
      <c r="B28" s="20" t="s">
        <v>55</v>
      </c>
      <c r="C28" s="16">
        <f>'Profit &amp; Loss Statement '!C29</f>
        <v>2321</v>
      </c>
      <c r="D28" s="16">
        <f>'Profit &amp; Loss Statement '!D29</f>
        <v>2429</v>
      </c>
      <c r="E28" s="16">
        <f>'Profit &amp; Loss Statement '!E29</f>
        <v>2753</v>
      </c>
      <c r="F28" s="16">
        <f>'Profit &amp; Loss Statement '!F29</f>
        <v>2944</v>
      </c>
      <c r="G28" s="16">
        <f>'Profit &amp; Loss Statement '!G29</f>
        <v>2619</v>
      </c>
    </row>
    <row r="29" spans="2:7" ht="15" thickBot="1">
      <c r="B29" s="20"/>
      <c r="C29" s="15"/>
      <c r="D29" s="15"/>
      <c r="E29" s="15"/>
      <c r="F29" s="15"/>
      <c r="G29" s="15"/>
    </row>
    <row r="30" spans="2:7" ht="15" thickBot="1">
      <c r="B30" s="20" t="s">
        <v>56</v>
      </c>
      <c r="C30" s="16">
        <f>'Profit &amp; Loss Statement '!C20</f>
        <v>2467</v>
      </c>
      <c r="D30" s="16">
        <f>'Profit &amp; Loss Statement '!D20</f>
        <v>3224</v>
      </c>
      <c r="E30" s="16">
        <f>'Profit &amp; Loss Statement '!E20</f>
        <v>3859</v>
      </c>
      <c r="F30" s="16">
        <f>'Profit &amp; Loss Statement '!F20</f>
        <v>7417</v>
      </c>
      <c r="G30" s="16">
        <f>'Profit &amp; Loss Statement '!G20</f>
        <v>4782</v>
      </c>
    </row>
    <row r="31" spans="2:7" ht="15" thickBot="1">
      <c r="B31" s="20"/>
      <c r="C31" s="15"/>
      <c r="D31" s="15"/>
      <c r="E31" s="15"/>
      <c r="F31" s="15"/>
      <c r="G31" s="15"/>
    </row>
    <row r="32" spans="2:7" ht="15" thickBot="1">
      <c r="B32" s="21" t="s">
        <v>57</v>
      </c>
      <c r="C32" s="22">
        <f>C27+C30-C28</f>
        <v>24603</v>
      </c>
      <c r="D32" s="22">
        <f t="shared" ref="D32:G32" si="3">D27+D30-D28</f>
        <v>28623</v>
      </c>
      <c r="E32" s="22">
        <f t="shared" si="3"/>
        <v>31800</v>
      </c>
      <c r="F32" s="22">
        <f t="shared" si="3"/>
        <v>36230</v>
      </c>
      <c r="G32" s="22">
        <f t="shared" si="3"/>
        <v>35662</v>
      </c>
    </row>
    <row r="33" spans="2:7" ht="15" thickBot="1">
      <c r="B33" s="20" t="s">
        <v>58</v>
      </c>
      <c r="C33" s="15"/>
      <c r="D33" s="15"/>
      <c r="E33" s="15"/>
      <c r="F33" s="15"/>
      <c r="G33" s="15"/>
    </row>
    <row r="34" spans="2:7" ht="15" thickBot="1">
      <c r="B34" s="20" t="s">
        <v>59</v>
      </c>
      <c r="C34" s="15">
        <f>'Profit &amp; Loss Statement '!C28</f>
        <v>126</v>
      </c>
      <c r="D34" s="15">
        <f>'Profit &amp; Loss Statement '!D28</f>
        <v>128</v>
      </c>
      <c r="E34" s="15">
        <f>'Profit &amp; Loss Statement '!E28</f>
        <v>157</v>
      </c>
      <c r="F34" s="15">
        <f>'Profit &amp; Loss Statement '!F28</f>
        <v>277</v>
      </c>
      <c r="G34" s="15">
        <f>'Profit &amp; Loss Statement '!G28</f>
        <v>221</v>
      </c>
    </row>
    <row r="35" spans="2:7" ht="15" thickBot="1">
      <c r="B35" s="20"/>
      <c r="C35" s="15"/>
      <c r="D35" s="15"/>
      <c r="E35" s="15"/>
      <c r="F35" s="15"/>
      <c r="G35" s="15"/>
    </row>
    <row r="36" spans="2:7" ht="15" thickBot="1">
      <c r="B36" s="21" t="s">
        <v>60</v>
      </c>
      <c r="C36" s="22">
        <f>C32-C34</f>
        <v>24477</v>
      </c>
      <c r="D36" s="22">
        <f t="shared" ref="D36:G36" si="4">D32-D34</f>
        <v>28495</v>
      </c>
      <c r="E36" s="22">
        <f t="shared" si="4"/>
        <v>31643</v>
      </c>
      <c r="F36" s="22">
        <f t="shared" si="4"/>
        <v>35953</v>
      </c>
      <c r="G36" s="22">
        <f t="shared" si="4"/>
        <v>35441</v>
      </c>
    </row>
    <row r="37" spans="2:7" ht="15" thickBot="1">
      <c r="B37" s="20" t="s">
        <v>61</v>
      </c>
      <c r="C37" s="16">
        <f>SUM('Profit &amp; Loss Statement '!C36,'Profit &amp; Loss Statement '!C38)</f>
        <v>6429</v>
      </c>
      <c r="D37" s="16">
        <f>SUM('Profit &amp; Loss Statement '!D36,'Profit &amp; Loss Statement '!D38)</f>
        <v>7260</v>
      </c>
      <c r="E37" s="16">
        <f>SUM('Profit &amp; Loss Statement '!E36,'Profit &amp; Loss Statement '!E38)</f>
        <v>8375</v>
      </c>
      <c r="F37" s="16">
        <f>SUM('Profit &amp; Loss Statement '!F36,'Profit &amp; Loss Statement '!F38)</f>
        <v>8719</v>
      </c>
      <c r="G37" s="16">
        <f>SUM('Profit &amp; Loss Statement '!G36,'Profit &amp; Loss Statement '!G38)</f>
        <v>9873</v>
      </c>
    </row>
    <row r="38" spans="2:7" ht="15" thickBot="1">
      <c r="B38" s="21" t="s">
        <v>62</v>
      </c>
      <c r="C38" s="22">
        <f>C36-C37</f>
        <v>18048</v>
      </c>
      <c r="D38" s="22">
        <f t="shared" ref="D38:G38" si="5">D36-D37</f>
        <v>21235</v>
      </c>
      <c r="E38" s="22">
        <f t="shared" si="5"/>
        <v>23268</v>
      </c>
      <c r="F38" s="22">
        <f t="shared" si="5"/>
        <v>27234</v>
      </c>
      <c r="G38" s="22">
        <f t="shared" si="5"/>
        <v>25568</v>
      </c>
    </row>
  </sheetData>
  <mergeCells count="1">
    <mergeCell ref="B12:G12"/>
  </mergeCells>
  <pageMargins left="0.7" right="0.7" top="0.75" bottom="0.75" header="0.3" footer="0.3"/>
  <pageSetup paperSize="9" orientation="portrait" r:id="rId1"/>
  <ignoredErrors>
    <ignoredError sqref="C17 D17:G1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B11:G82"/>
  <sheetViews>
    <sheetView showGridLines="0" workbookViewId="0">
      <selection activeCell="C94" sqref="C94"/>
    </sheetView>
  </sheetViews>
  <sheetFormatPr defaultRowHeight="14.5"/>
  <cols>
    <col min="1" max="1" width="1.81640625" customWidth="1"/>
    <col min="2" max="2" width="47.90625" bestFit="1" customWidth="1"/>
    <col min="3" max="3" width="8.81640625" bestFit="1" customWidth="1"/>
    <col min="4" max="7" width="10.26953125" bestFit="1" customWidth="1"/>
  </cols>
  <sheetData>
    <row r="11" spans="2:7" ht="20.5">
      <c r="B11" s="31" t="s">
        <v>276</v>
      </c>
      <c r="C11" s="31"/>
      <c r="D11" s="31"/>
      <c r="E11" s="31"/>
      <c r="F11" s="31"/>
      <c r="G11" s="31"/>
    </row>
    <row r="12" spans="2:7">
      <c r="B12" s="4" t="s">
        <v>66</v>
      </c>
      <c r="C12" s="3">
        <v>44256</v>
      </c>
      <c r="D12" s="3">
        <v>44621</v>
      </c>
      <c r="E12" s="3">
        <v>44986</v>
      </c>
      <c r="F12" s="3">
        <v>45352</v>
      </c>
      <c r="G12" s="3">
        <v>45717</v>
      </c>
    </row>
    <row r="13" spans="2:7" ht="15" thickBot="1">
      <c r="B13" t="s">
        <v>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</row>
    <row r="14" spans="2:7" ht="15" thickBot="1">
      <c r="B14" s="26" t="s">
        <v>67</v>
      </c>
      <c r="C14" s="27"/>
      <c r="D14" s="27"/>
      <c r="E14" s="27"/>
      <c r="F14" s="27"/>
      <c r="G14" s="28"/>
    </row>
    <row r="15" spans="2:7" ht="15" thickBot="1">
      <c r="B15" s="23" t="s">
        <v>68</v>
      </c>
      <c r="C15" s="23"/>
      <c r="D15" s="23"/>
      <c r="E15" s="23"/>
      <c r="F15" s="23"/>
      <c r="G15" s="23"/>
    </row>
    <row r="16" spans="2:7" ht="15" thickBot="1">
      <c r="B16" s="15" t="s">
        <v>69</v>
      </c>
      <c r="C16" s="16">
        <v>2130</v>
      </c>
      <c r="D16" s="16">
        <v>2103</v>
      </c>
      <c r="E16" s="16">
        <v>2074</v>
      </c>
      <c r="F16" s="16">
        <v>2075</v>
      </c>
      <c r="G16" s="16">
        <v>2076</v>
      </c>
    </row>
    <row r="17" spans="2:7" ht="15" thickBot="1">
      <c r="B17" s="15" t="s">
        <v>70</v>
      </c>
      <c r="C17" s="16">
        <v>2130</v>
      </c>
      <c r="D17" s="16">
        <v>2103</v>
      </c>
      <c r="E17" s="16">
        <v>2074</v>
      </c>
      <c r="F17" s="16">
        <v>2075</v>
      </c>
      <c r="G17" s="16">
        <v>2076</v>
      </c>
    </row>
    <row r="18" spans="2:7" ht="15" thickBot="1">
      <c r="B18" s="15" t="s">
        <v>71</v>
      </c>
      <c r="C18" s="16">
        <v>69029</v>
      </c>
      <c r="D18" s="16">
        <v>66597</v>
      </c>
      <c r="E18" s="16">
        <v>64793</v>
      </c>
      <c r="F18" s="16">
        <v>79101</v>
      </c>
      <c r="G18" s="16">
        <v>85256</v>
      </c>
    </row>
    <row r="19" spans="2:7" ht="15" thickBot="1">
      <c r="B19" s="15" t="s">
        <v>72</v>
      </c>
      <c r="C19" s="16">
        <v>69029</v>
      </c>
      <c r="D19" s="16">
        <v>66597</v>
      </c>
      <c r="E19" s="16">
        <v>64793</v>
      </c>
      <c r="F19" s="16">
        <v>79101</v>
      </c>
      <c r="G19" s="16">
        <v>85256</v>
      </c>
    </row>
    <row r="20" spans="2:7" ht="15" thickBot="1">
      <c r="B20" s="15" t="s">
        <v>73</v>
      </c>
      <c r="C20" s="16">
        <v>71531</v>
      </c>
      <c r="D20" s="16">
        <v>69306</v>
      </c>
      <c r="E20" s="16">
        <v>67745</v>
      </c>
      <c r="F20" s="16">
        <v>81176</v>
      </c>
      <c r="G20" s="16">
        <v>87332</v>
      </c>
    </row>
    <row r="21" spans="2:7" ht="15" thickBot="1">
      <c r="B21" s="15"/>
      <c r="C21" s="16"/>
      <c r="D21" s="16"/>
      <c r="E21" s="16"/>
      <c r="F21" s="16"/>
      <c r="G21" s="16"/>
    </row>
    <row r="22" spans="2:7" ht="15" thickBot="1">
      <c r="B22" s="23" t="s">
        <v>74</v>
      </c>
      <c r="C22" s="23"/>
      <c r="D22" s="23"/>
      <c r="E22" s="23"/>
      <c r="F22" s="23"/>
      <c r="G22" s="23"/>
    </row>
    <row r="23" spans="2:7" ht="15" thickBot="1">
      <c r="B23" s="15" t="s">
        <v>75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2:7" ht="15" thickBot="1">
      <c r="B24" s="15" t="s">
        <v>76</v>
      </c>
      <c r="C24" s="15">
        <v>511</v>
      </c>
      <c r="D24" s="15">
        <v>841</v>
      </c>
      <c r="E24" s="15">
        <v>866</v>
      </c>
      <c r="F24" s="16">
        <v>1509</v>
      </c>
      <c r="G24" s="16">
        <v>1062</v>
      </c>
    </row>
    <row r="25" spans="2:7" ht="15" thickBot="1">
      <c r="B25" s="15" t="s">
        <v>77</v>
      </c>
      <c r="C25" s="16">
        <v>4275</v>
      </c>
      <c r="D25" s="16">
        <v>4264</v>
      </c>
      <c r="E25" s="16">
        <v>5284</v>
      </c>
      <c r="F25" s="16">
        <v>5179</v>
      </c>
      <c r="G25" s="16">
        <v>4780</v>
      </c>
    </row>
    <row r="26" spans="2:7" ht="15" thickBot="1">
      <c r="B26" s="15" t="s">
        <v>78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2:7" ht="15" thickBot="1">
      <c r="B27" s="23" t="s">
        <v>79</v>
      </c>
      <c r="C27" s="22">
        <v>4786</v>
      </c>
      <c r="D27" s="22">
        <v>5105</v>
      </c>
      <c r="E27" s="22">
        <v>6150</v>
      </c>
      <c r="F27" s="22">
        <v>6688</v>
      </c>
      <c r="G27" s="22">
        <v>5842</v>
      </c>
    </row>
    <row r="28" spans="2:7" ht="15" thickBot="1">
      <c r="B28" s="15"/>
      <c r="C28" s="16"/>
      <c r="D28" s="16"/>
      <c r="E28" s="16"/>
      <c r="F28" s="16"/>
      <c r="G28" s="16"/>
    </row>
    <row r="29" spans="2:7" ht="15" thickBot="1">
      <c r="B29" s="23" t="s">
        <v>80</v>
      </c>
      <c r="C29" s="23"/>
      <c r="D29" s="23"/>
      <c r="E29" s="23"/>
      <c r="F29" s="23"/>
      <c r="G29" s="23"/>
    </row>
    <row r="30" spans="2:7" ht="15" thickBot="1">
      <c r="B30" s="15" t="s">
        <v>81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</row>
    <row r="31" spans="2:7" ht="15" thickBot="1">
      <c r="B31" s="15" t="s">
        <v>63</v>
      </c>
      <c r="C31" s="16">
        <v>1562</v>
      </c>
      <c r="D31" s="16">
        <v>2669</v>
      </c>
      <c r="E31" s="16">
        <v>2426</v>
      </c>
      <c r="F31" s="16">
        <v>2493</v>
      </c>
      <c r="G31" s="16">
        <v>2728</v>
      </c>
    </row>
    <row r="32" spans="2:7" ht="15" thickBot="1">
      <c r="B32" s="15" t="s">
        <v>82</v>
      </c>
      <c r="C32" s="16">
        <v>15399</v>
      </c>
      <c r="D32" s="16">
        <v>21387</v>
      </c>
      <c r="E32" s="16">
        <v>23853</v>
      </c>
      <c r="F32" s="16">
        <v>23129</v>
      </c>
      <c r="G32" s="16">
        <v>28041</v>
      </c>
    </row>
    <row r="33" spans="2:7" ht="15" thickBot="1">
      <c r="B33" s="15" t="s">
        <v>83</v>
      </c>
      <c r="C33" s="15">
        <v>661</v>
      </c>
      <c r="D33" s="15">
        <v>920</v>
      </c>
      <c r="E33" s="16">
        <v>1163</v>
      </c>
      <c r="F33" s="16">
        <v>1464</v>
      </c>
      <c r="G33" s="15">
        <v>993</v>
      </c>
    </row>
    <row r="34" spans="2:7" ht="15" thickBot="1">
      <c r="B34" s="23" t="s">
        <v>84</v>
      </c>
      <c r="C34" s="22">
        <v>17622</v>
      </c>
      <c r="D34" s="22">
        <v>24976</v>
      </c>
      <c r="E34" s="22">
        <v>27442</v>
      </c>
      <c r="F34" s="22">
        <v>27086</v>
      </c>
      <c r="G34" s="22">
        <v>31762</v>
      </c>
    </row>
    <row r="35" spans="2:7" ht="15" thickBot="1">
      <c r="B35" s="23" t="s">
        <v>85</v>
      </c>
      <c r="C35" s="22">
        <v>93939</v>
      </c>
      <c r="D35" s="22">
        <v>99387</v>
      </c>
      <c r="E35" s="22">
        <v>101337</v>
      </c>
      <c r="F35" s="22">
        <v>114950</v>
      </c>
      <c r="G35" s="22">
        <v>124936</v>
      </c>
    </row>
    <row r="36" spans="2:7" ht="15" thickBot="1">
      <c r="B36" s="15"/>
      <c r="C36" s="16"/>
      <c r="D36" s="16"/>
      <c r="E36" s="16"/>
      <c r="F36" s="16"/>
      <c r="G36" s="16"/>
    </row>
    <row r="37" spans="2:7" ht="15" thickBot="1">
      <c r="B37" s="23" t="s">
        <v>86</v>
      </c>
      <c r="C37" s="23"/>
      <c r="D37" s="23"/>
      <c r="E37" s="23"/>
      <c r="F37" s="23"/>
      <c r="G37" s="23"/>
    </row>
    <row r="38" spans="2:7" ht="15" thickBot="1">
      <c r="B38" s="23" t="s">
        <v>87</v>
      </c>
      <c r="C38" s="23"/>
      <c r="D38" s="23"/>
      <c r="E38" s="23"/>
      <c r="F38" s="23"/>
      <c r="G38" s="23"/>
    </row>
    <row r="39" spans="2:7" ht="15" thickBot="1">
      <c r="B39" s="15" t="s">
        <v>88</v>
      </c>
      <c r="C39" s="16">
        <v>14365</v>
      </c>
      <c r="D39" s="16">
        <v>14695</v>
      </c>
      <c r="E39" s="16">
        <v>15217</v>
      </c>
      <c r="F39" s="16">
        <v>14116</v>
      </c>
      <c r="G39" s="16">
        <v>13148</v>
      </c>
    </row>
    <row r="40" spans="2:7" ht="15" thickBot="1">
      <c r="B40" s="15" t="s">
        <v>64</v>
      </c>
      <c r="C40" s="15">
        <v>234</v>
      </c>
      <c r="D40" s="15">
        <v>243</v>
      </c>
      <c r="E40" s="15">
        <v>214</v>
      </c>
      <c r="F40" s="15">
        <v>211</v>
      </c>
      <c r="G40" s="15">
        <v>211</v>
      </c>
    </row>
    <row r="41" spans="2:7" ht="15" thickBot="1">
      <c r="B41" s="15" t="s">
        <v>89</v>
      </c>
      <c r="C41" s="15">
        <v>906</v>
      </c>
      <c r="D41" s="15">
        <v>411</v>
      </c>
      <c r="E41" s="15">
        <v>275</v>
      </c>
      <c r="F41" s="15">
        <v>277</v>
      </c>
      <c r="G41" s="15">
        <v>778</v>
      </c>
    </row>
    <row r="42" spans="2:7" ht="15" thickBot="1">
      <c r="B42" s="15" t="s">
        <v>90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</row>
    <row r="43" spans="2:7" ht="15" thickBot="1">
      <c r="B43" s="15" t="s">
        <v>91</v>
      </c>
      <c r="C43" s="16">
        <v>15505</v>
      </c>
      <c r="D43" s="16">
        <v>15349</v>
      </c>
      <c r="E43" s="16">
        <v>15706</v>
      </c>
      <c r="F43" s="16">
        <v>14604</v>
      </c>
      <c r="G43" s="16">
        <v>14137</v>
      </c>
    </row>
    <row r="44" spans="2:7" ht="15" thickBot="1">
      <c r="B44" s="15" t="s">
        <v>92</v>
      </c>
      <c r="C44" s="16">
        <v>22118</v>
      </c>
      <c r="D44" s="16">
        <v>22869</v>
      </c>
      <c r="E44" s="16">
        <v>23686</v>
      </c>
      <c r="F44" s="16">
        <v>23352</v>
      </c>
      <c r="G44" s="16">
        <v>27371</v>
      </c>
    </row>
    <row r="45" spans="2:7" ht="15" thickBot="1">
      <c r="B45" s="15" t="s">
        <v>93</v>
      </c>
      <c r="C45" s="15">
        <v>955</v>
      </c>
      <c r="D45" s="15">
        <v>970</v>
      </c>
      <c r="E45" s="15">
        <v>779</v>
      </c>
      <c r="F45" s="15">
        <v>0</v>
      </c>
      <c r="G45" s="15">
        <v>497</v>
      </c>
    </row>
    <row r="46" spans="2:7" ht="15" thickBot="1">
      <c r="B46" s="15" t="s">
        <v>94</v>
      </c>
      <c r="C46" s="15">
        <v>30</v>
      </c>
      <c r="D46" s="15">
        <v>34</v>
      </c>
      <c r="E46" s="15">
        <v>39</v>
      </c>
      <c r="F46" s="15">
        <v>34</v>
      </c>
      <c r="G46" s="15">
        <v>26</v>
      </c>
    </row>
    <row r="47" spans="2:7" ht="15" thickBot="1">
      <c r="B47" s="15" t="s">
        <v>95</v>
      </c>
      <c r="C47" s="16">
        <v>7049</v>
      </c>
      <c r="D47" s="16">
        <v>7728</v>
      </c>
      <c r="E47" s="16">
        <v>9045</v>
      </c>
      <c r="F47" s="16">
        <v>6008</v>
      </c>
      <c r="G47" s="16">
        <v>5737</v>
      </c>
    </row>
    <row r="48" spans="2:7" ht="15" thickBot="1">
      <c r="B48" s="15" t="s">
        <v>96</v>
      </c>
      <c r="C48" s="16">
        <v>45657</v>
      </c>
      <c r="D48" s="16">
        <v>46950</v>
      </c>
      <c r="E48" s="16">
        <v>49255</v>
      </c>
      <c r="F48" s="16">
        <v>43998</v>
      </c>
      <c r="G48" s="16">
        <v>47768</v>
      </c>
    </row>
    <row r="49" spans="2:7" ht="15" thickBot="1">
      <c r="B49" s="15"/>
      <c r="C49" s="16"/>
      <c r="D49" s="16"/>
      <c r="E49" s="16"/>
      <c r="F49" s="16"/>
      <c r="G49" s="16"/>
    </row>
    <row r="50" spans="2:7" ht="15" thickBot="1">
      <c r="B50" s="23" t="s">
        <v>97</v>
      </c>
      <c r="C50" s="23"/>
      <c r="D50" s="23"/>
      <c r="E50" s="23"/>
      <c r="F50" s="23"/>
      <c r="G50" s="23"/>
    </row>
    <row r="51" spans="2:7" ht="15" thickBot="1">
      <c r="B51" s="15" t="s">
        <v>98</v>
      </c>
      <c r="C51" s="16">
        <v>2037</v>
      </c>
      <c r="D51" s="16">
        <v>5467</v>
      </c>
      <c r="E51" s="16">
        <v>4476</v>
      </c>
      <c r="F51" s="16">
        <v>11307</v>
      </c>
      <c r="G51" s="16">
        <v>11147</v>
      </c>
    </row>
    <row r="52" spans="2:7" ht="15" thickBot="1">
      <c r="B52" s="15" t="s">
        <v>99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</row>
    <row r="53" spans="2:7" ht="15" thickBot="1">
      <c r="B53" s="15" t="s">
        <v>100</v>
      </c>
      <c r="C53" s="16">
        <v>16394</v>
      </c>
      <c r="D53" s="16">
        <v>18966</v>
      </c>
      <c r="E53" s="16">
        <v>20773</v>
      </c>
      <c r="F53" s="16">
        <v>25152</v>
      </c>
      <c r="G53" s="16">
        <v>26413</v>
      </c>
    </row>
    <row r="54" spans="2:7" ht="15" thickBot="1">
      <c r="B54" s="15" t="s">
        <v>101</v>
      </c>
      <c r="C54" s="16">
        <v>17612</v>
      </c>
      <c r="D54" s="16">
        <v>12270</v>
      </c>
      <c r="E54" s="16">
        <v>6534</v>
      </c>
      <c r="F54" s="16">
        <v>8191</v>
      </c>
      <c r="G54" s="16">
        <v>14265</v>
      </c>
    </row>
    <row r="55" spans="2:7" ht="15" thickBot="1">
      <c r="B55" s="15" t="s">
        <v>102</v>
      </c>
      <c r="C55" s="15">
        <v>229</v>
      </c>
      <c r="D55" s="15">
        <v>219</v>
      </c>
      <c r="E55" s="15">
        <v>291</v>
      </c>
      <c r="F55" s="15">
        <v>208</v>
      </c>
      <c r="G55" s="15">
        <v>207</v>
      </c>
    </row>
    <row r="56" spans="2:7" ht="15" thickBot="1">
      <c r="B56" s="15" t="s">
        <v>103</v>
      </c>
      <c r="C56" s="16">
        <v>12010</v>
      </c>
      <c r="D56" s="16">
        <v>15515</v>
      </c>
      <c r="E56" s="16">
        <v>20008</v>
      </c>
      <c r="F56" s="16">
        <v>26094</v>
      </c>
      <c r="G56" s="16">
        <v>25136</v>
      </c>
    </row>
    <row r="57" spans="2:7" ht="15" thickBot="1">
      <c r="B57" s="23" t="s">
        <v>104</v>
      </c>
      <c r="C57" s="22">
        <v>48282</v>
      </c>
      <c r="D57" s="22">
        <v>52437</v>
      </c>
      <c r="E57" s="22">
        <v>52082</v>
      </c>
      <c r="F57" s="22">
        <v>70952</v>
      </c>
      <c r="G57" s="22">
        <v>77168</v>
      </c>
    </row>
    <row r="58" spans="2:7" ht="15" thickBot="1">
      <c r="B58" s="23" t="s">
        <v>65</v>
      </c>
      <c r="C58" s="22">
        <v>93939</v>
      </c>
      <c r="D58" s="22">
        <v>99387</v>
      </c>
      <c r="E58" s="22">
        <v>101337</v>
      </c>
      <c r="F58" s="22">
        <v>114950</v>
      </c>
      <c r="G58" s="22">
        <v>124936</v>
      </c>
    </row>
    <row r="59" spans="2:7" ht="15" thickBot="1">
      <c r="B59" s="15"/>
      <c r="C59" s="16"/>
      <c r="D59" s="16"/>
      <c r="E59" s="16"/>
      <c r="F59" s="16"/>
      <c r="G59" s="16"/>
    </row>
    <row r="60" spans="2:7" ht="15" thickBot="1">
      <c r="B60" s="15" t="s">
        <v>31</v>
      </c>
      <c r="C60" s="15"/>
      <c r="D60" s="15"/>
      <c r="E60" s="15"/>
      <c r="F60" s="15"/>
      <c r="G60" s="15"/>
    </row>
    <row r="61" spans="2:7" ht="15" thickBot="1">
      <c r="B61" s="15" t="s">
        <v>105</v>
      </c>
      <c r="C61" s="15"/>
      <c r="D61" s="15"/>
      <c r="E61" s="15"/>
      <c r="F61" s="15"/>
      <c r="G61" s="15"/>
    </row>
    <row r="62" spans="2:7" ht="15" thickBot="1">
      <c r="B62" s="15" t="s">
        <v>106</v>
      </c>
      <c r="C62" s="16">
        <v>4372</v>
      </c>
      <c r="D62" s="16">
        <v>5348</v>
      </c>
      <c r="E62" s="16">
        <v>5148</v>
      </c>
      <c r="F62" s="16">
        <v>3342</v>
      </c>
      <c r="G62" s="16">
        <v>2667</v>
      </c>
    </row>
    <row r="63" spans="2:7" ht="15" thickBot="1">
      <c r="B63" s="15" t="s">
        <v>107</v>
      </c>
      <c r="C63" s="15"/>
      <c r="D63" s="15"/>
      <c r="E63" s="15"/>
      <c r="F63" s="15"/>
      <c r="G63" s="15"/>
    </row>
    <row r="64" spans="2:7" ht="15" thickBot="1">
      <c r="B64" s="15" t="s">
        <v>108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</row>
    <row r="65" spans="2:7" ht="15" thickBot="1">
      <c r="B65" s="15" t="s">
        <v>109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</row>
    <row r="66" spans="2:7" ht="15" thickBot="1">
      <c r="B66" s="15" t="s">
        <v>110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</row>
    <row r="67" spans="2:7" ht="15" thickBot="1">
      <c r="B67" s="15" t="s">
        <v>111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</row>
    <row r="68" spans="2:7" ht="15" thickBot="1">
      <c r="B68" s="15" t="s">
        <v>112</v>
      </c>
      <c r="C68" s="15"/>
      <c r="D68" s="15"/>
      <c r="E68" s="15"/>
      <c r="F68" s="15"/>
      <c r="G68" s="15"/>
    </row>
    <row r="69" spans="2:7" ht="15" thickBot="1">
      <c r="B69" s="15" t="s">
        <v>113</v>
      </c>
      <c r="C69" s="16">
        <v>46433</v>
      </c>
      <c r="D69" s="16">
        <v>57224</v>
      </c>
      <c r="E69" s="16">
        <v>70534</v>
      </c>
      <c r="F69" s="16">
        <v>72639</v>
      </c>
      <c r="G69" s="16">
        <v>77141</v>
      </c>
    </row>
    <row r="70" spans="2:7" ht="15" thickBot="1">
      <c r="B70" s="15" t="s">
        <v>114</v>
      </c>
      <c r="C70" s="15"/>
      <c r="D70" s="15"/>
      <c r="E70" s="15"/>
      <c r="F70" s="15"/>
      <c r="G70" s="15"/>
    </row>
    <row r="71" spans="2:7" ht="15" thickBot="1">
      <c r="B71" s="15" t="s">
        <v>115</v>
      </c>
      <c r="C71" s="15" t="s">
        <v>116</v>
      </c>
      <c r="D71" s="15" t="s">
        <v>116</v>
      </c>
      <c r="E71" s="15" t="s">
        <v>116</v>
      </c>
      <c r="F71" s="15" t="s">
        <v>116</v>
      </c>
      <c r="G71" s="15" t="s">
        <v>116</v>
      </c>
    </row>
    <row r="72" spans="2:7" ht="15" thickBot="1">
      <c r="B72" s="15" t="s">
        <v>117</v>
      </c>
      <c r="C72" s="15"/>
      <c r="D72" s="15"/>
      <c r="E72" s="15"/>
      <c r="F72" s="15"/>
      <c r="G72" s="15"/>
    </row>
    <row r="73" spans="2:7" ht="15" thickBot="1">
      <c r="B73" s="15" t="s">
        <v>118</v>
      </c>
      <c r="C73" s="16">
        <v>84252</v>
      </c>
      <c r="D73" s="16">
        <v>101854</v>
      </c>
      <c r="E73" s="16">
        <v>121605</v>
      </c>
      <c r="F73" s="16">
        <v>125794</v>
      </c>
      <c r="G73" s="16">
        <v>133294</v>
      </c>
    </row>
    <row r="74" spans="2:7" ht="15" thickBot="1">
      <c r="B74" s="15" t="s">
        <v>119</v>
      </c>
      <c r="C74" s="15" t="s">
        <v>116</v>
      </c>
      <c r="D74" s="15" t="s">
        <v>116</v>
      </c>
      <c r="E74" s="15" t="s">
        <v>116</v>
      </c>
      <c r="F74" s="15" t="s">
        <v>116</v>
      </c>
      <c r="G74" s="15" t="s">
        <v>116</v>
      </c>
    </row>
    <row r="75" spans="2:7" ht="15" thickBot="1">
      <c r="B75" s="15" t="s">
        <v>120</v>
      </c>
      <c r="C75" s="15"/>
      <c r="D75" s="15"/>
      <c r="E75" s="15"/>
      <c r="F75" s="15"/>
      <c r="G75" s="15"/>
    </row>
    <row r="76" spans="2:7" ht="15" thickBot="1">
      <c r="B76" s="15" t="s">
        <v>121</v>
      </c>
      <c r="C76" s="16">
        <v>2117.09</v>
      </c>
      <c r="D76" s="16">
        <v>2017.09</v>
      </c>
      <c r="E76" s="16">
        <v>1989.2</v>
      </c>
      <c r="F76" s="16">
        <v>1989.2</v>
      </c>
      <c r="G76" s="16">
        <v>1989.2</v>
      </c>
    </row>
    <row r="77" spans="2:7" ht="15" thickBot="1">
      <c r="B77" s="15" t="s">
        <v>122</v>
      </c>
      <c r="C77" s="15"/>
      <c r="D77" s="15"/>
      <c r="E77" s="15"/>
      <c r="F77" s="15"/>
      <c r="G77" s="15"/>
    </row>
    <row r="78" spans="2:7" ht="15" thickBot="1">
      <c r="B78" s="15" t="s">
        <v>123</v>
      </c>
      <c r="C78" s="16">
        <v>11507</v>
      </c>
      <c r="D78" s="16">
        <v>12552</v>
      </c>
      <c r="E78" s="16">
        <v>11336</v>
      </c>
      <c r="F78" s="16">
        <v>10978</v>
      </c>
      <c r="G78" s="16">
        <v>10269</v>
      </c>
    </row>
    <row r="79" spans="2:7" ht="15" thickBot="1">
      <c r="B79" s="15" t="s">
        <v>124</v>
      </c>
      <c r="C79" s="16">
        <v>11003</v>
      </c>
      <c r="D79" s="16">
        <v>15134</v>
      </c>
      <c r="E79" s="16">
        <v>16034</v>
      </c>
      <c r="F79" s="16">
        <v>12589</v>
      </c>
      <c r="G79" s="16">
        <v>17275</v>
      </c>
    </row>
    <row r="80" spans="2:7" ht="15" thickBot="1">
      <c r="B80" s="15" t="s">
        <v>125</v>
      </c>
      <c r="C80" s="15"/>
      <c r="D80" s="15"/>
      <c r="E80" s="15"/>
      <c r="F80" s="15"/>
      <c r="G80" s="15"/>
    </row>
    <row r="81" spans="2:7" ht="15" thickBot="1">
      <c r="B81" s="15" t="s">
        <v>126</v>
      </c>
      <c r="C81" s="15">
        <v>713</v>
      </c>
      <c r="D81" s="16">
        <v>1003</v>
      </c>
      <c r="E81" s="16">
        <v>1050</v>
      </c>
      <c r="F81" s="16">
        <v>1942</v>
      </c>
      <c r="G81" s="16">
        <v>3266</v>
      </c>
    </row>
    <row r="82" spans="2:7" ht="15" thickBot="1">
      <c r="B82" s="15" t="s">
        <v>127</v>
      </c>
      <c r="C82" s="16">
        <v>1326</v>
      </c>
      <c r="D82" s="16">
        <v>1337</v>
      </c>
      <c r="E82" s="16">
        <v>3445</v>
      </c>
      <c r="F82" s="16">
        <v>9365</v>
      </c>
      <c r="G82" s="16">
        <v>7884</v>
      </c>
    </row>
  </sheetData>
  <mergeCells count="2">
    <mergeCell ref="B14:G14"/>
    <mergeCell ref="B11:G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B10:H41"/>
  <sheetViews>
    <sheetView showGridLines="0" workbookViewId="0">
      <selection activeCell="L46" sqref="L46"/>
    </sheetView>
  </sheetViews>
  <sheetFormatPr defaultRowHeight="14.5"/>
  <cols>
    <col min="1" max="1" width="1.81640625" customWidth="1"/>
    <col min="2" max="2" width="22.81640625" bestFit="1" customWidth="1"/>
    <col min="3" max="3" width="8.81640625" bestFit="1" customWidth="1"/>
  </cols>
  <sheetData>
    <row r="10" spans="2:7" ht="36" customHeight="1">
      <c r="B10" s="29" t="s">
        <v>277</v>
      </c>
      <c r="C10" s="14"/>
      <c r="D10" s="14"/>
      <c r="E10" s="14"/>
      <c r="F10" s="14"/>
      <c r="G10" s="14"/>
    </row>
    <row r="11" spans="2:7" ht="15" thickBot="1">
      <c r="B11" s="4" t="s">
        <v>45</v>
      </c>
      <c r="C11" s="4">
        <v>2021</v>
      </c>
      <c r="D11" s="4">
        <f>C11+1</f>
        <v>2022</v>
      </c>
      <c r="E11" s="4">
        <f t="shared" ref="E11:G11" si="0">D11+1</f>
        <v>2023</v>
      </c>
      <c r="F11" s="4">
        <f t="shared" si="0"/>
        <v>2024</v>
      </c>
      <c r="G11" s="4">
        <f t="shared" si="0"/>
        <v>2025</v>
      </c>
    </row>
    <row r="12" spans="2:7" ht="15" thickBot="1">
      <c r="B12" s="34" t="s">
        <v>255</v>
      </c>
      <c r="C12" s="15"/>
      <c r="D12" s="15"/>
      <c r="E12" s="15"/>
      <c r="F12" s="15"/>
      <c r="G12" s="15"/>
    </row>
    <row r="13" spans="2:7" ht="15" thickBot="1">
      <c r="B13" s="35" t="s">
        <v>256</v>
      </c>
      <c r="C13" s="15">
        <f>'Balance Sheet '!C57/'Balance Sheet '!C34</f>
        <v>2.7398706162751107</v>
      </c>
      <c r="D13" s="15">
        <f>'Balance Sheet '!D57/'Balance Sheet '!D34</f>
        <v>2.0994955156950672</v>
      </c>
      <c r="E13" s="15">
        <f>'Balance Sheet '!E57/'Balance Sheet '!E34</f>
        <v>1.8978937395233584</v>
      </c>
      <c r="F13" s="15">
        <f>'Balance Sheet '!F57/'Balance Sheet '!F34</f>
        <v>2.6195082330355164</v>
      </c>
      <c r="G13" s="15">
        <f>'Balance Sheet '!G57/'Balance Sheet '!G34</f>
        <v>2.4295699263270576</v>
      </c>
    </row>
    <row r="14" spans="2:7" ht="15" thickBot="1">
      <c r="B14" s="35" t="s">
        <v>257</v>
      </c>
      <c r="C14" s="15">
        <f>'Balance Sheet '!C57-'Balance Sheet '!C52/'Balance Sheet '!C34</f>
        <v>48282</v>
      </c>
      <c r="D14" s="15">
        <f>'Balance Sheet '!D57-'Balance Sheet '!D52/'Balance Sheet '!D34</f>
        <v>52437</v>
      </c>
      <c r="E14" s="15">
        <f>'Balance Sheet '!E57-'Balance Sheet '!E52/'Balance Sheet '!E34</f>
        <v>52082</v>
      </c>
      <c r="F14" s="15">
        <f>'Balance Sheet '!F57-'Balance Sheet '!F52/'Balance Sheet '!F34</f>
        <v>70952</v>
      </c>
      <c r="G14" s="15">
        <f>'Balance Sheet '!G57-'Balance Sheet '!G52/'Balance Sheet '!G34</f>
        <v>77168</v>
      </c>
    </row>
    <row r="15" spans="2:7" ht="15" thickBot="1">
      <c r="B15" s="35" t="s">
        <v>258</v>
      </c>
      <c r="C15" s="15">
        <f>'Balance Sheet '!C54/'Balance Sheet '!C34</f>
        <v>0.99943252752241518</v>
      </c>
      <c r="D15" s="15">
        <f>'Balance Sheet '!D54/'Balance Sheet '!D34</f>
        <v>0.49127162075592568</v>
      </c>
      <c r="E15" s="15">
        <f>'Balance Sheet '!E54/'Balance Sheet '!E34</f>
        <v>0.23810217914146201</v>
      </c>
      <c r="F15" s="15">
        <f>'Balance Sheet '!F54/'Balance Sheet '!F34</f>
        <v>0.30240714760392823</v>
      </c>
      <c r="G15" s="15">
        <f>'Balance Sheet '!G54/'Balance Sheet '!G34</f>
        <v>0.44912159183930483</v>
      </c>
    </row>
    <row r="16" spans="2:7" ht="15" thickBot="1">
      <c r="B16" s="23"/>
      <c r="C16" s="15"/>
      <c r="D16" s="15"/>
      <c r="E16" s="15"/>
      <c r="F16" s="15"/>
      <c r="G16" s="15"/>
    </row>
    <row r="17" spans="2:7" ht="15" thickBot="1">
      <c r="B17" s="34" t="s">
        <v>259</v>
      </c>
      <c r="C17" s="15"/>
      <c r="D17" s="15"/>
      <c r="E17" s="15"/>
      <c r="F17" s="15"/>
      <c r="G17" s="15"/>
    </row>
    <row r="18" spans="2:7" ht="15" thickBot="1">
      <c r="B18" s="35" t="s">
        <v>260</v>
      </c>
      <c r="C18" s="15">
        <f>'Profit &amp; Loss Statement '!C18/AVERAGE('Balance Sheet '!C58:D58)</f>
        <v>0.88877853987565048</v>
      </c>
      <c r="D18" s="15">
        <f>'Profit &amp; Loss Statement '!D18/AVERAGE('Balance Sheet '!D58:E58)</f>
        <v>1.0356509435842252</v>
      </c>
      <c r="E18" s="15">
        <f>'Profit &amp; Loss Statement '!E18/AVERAGE('Balance Sheet '!E58:F58)</f>
        <v>1.1467540813826074</v>
      </c>
      <c r="F18" s="15">
        <f>'Profit &amp; Loss Statement '!F18/AVERAGE('Balance Sheet '!F58:G58)</f>
        <v>1.0749522689944391</v>
      </c>
      <c r="G18" s="15">
        <f>'Profit &amp; Loss Statement '!G18/AVERAGE('Balance Sheet '!G58:H58)</f>
        <v>1.0932957674329256</v>
      </c>
    </row>
    <row r="19" spans="2:7" ht="15" thickBot="1">
      <c r="B19" s="35" t="s">
        <v>261</v>
      </c>
      <c r="C19" s="15">
        <f>'Profit &amp; Loss Statement '!C18/AVERAGE('Balance Sheet '!C43:D43)</f>
        <v>5.5689375769754328</v>
      </c>
      <c r="D19" s="15">
        <f>'Profit &amp; Loss Statement '!D18/AVERAGE('Balance Sheet '!D43:E43)</f>
        <v>6.6939301239735949</v>
      </c>
      <c r="E19" s="15">
        <f>'Profit &amp; Loss Statement '!E18/AVERAGE('Balance Sheet '!E43:F43)</f>
        <v>8.183041900362916</v>
      </c>
      <c r="F19" s="15">
        <f>'Profit &amp; Loss Statement '!F18/AVERAGE('Balance Sheet '!F43:G43)</f>
        <v>8.9720608190390028</v>
      </c>
      <c r="G19" s="15">
        <f>'Profit &amp; Loss Statement '!G18/AVERAGE('Balance Sheet '!G43:H43)</f>
        <v>9.6620216453278633</v>
      </c>
    </row>
    <row r="20" spans="2:7" ht="15" thickBot="1">
      <c r="B20" s="35" t="s">
        <v>262</v>
      </c>
      <c r="C20" s="15">
        <f>'Profit &amp; Loss Statement '!C18/AVERAGE('Ratio Analysis'!C40:D40)</f>
        <v>2.9563152733091309</v>
      </c>
      <c r="D20" s="15">
        <f>'Profit &amp; Loss Statement '!D18/AVERAGE('Ratio Analysis'!D40:E40)</f>
        <v>3.9899426114661907</v>
      </c>
      <c r="E20" s="15">
        <f>'Profit &amp; Loss Statement '!E18/AVERAGE('Ratio Analysis'!E40:F40)</f>
        <v>3.6205295886491693</v>
      </c>
      <c r="F20" s="15">
        <f>'Profit &amp; Loss Statement '!F18/AVERAGE('Ratio Analysis'!F40:G40)</f>
        <v>2.8885428801863968</v>
      </c>
      <c r="G20" s="15" t="e">
        <f>'Profit &amp; Loss Statement '!G18/AVERAGE('Ratio Analysis'!G41:H41)</f>
        <v>#DIV/0!</v>
      </c>
    </row>
    <row r="21" spans="2:7" ht="15" thickBot="1">
      <c r="B21" s="35" t="s">
        <v>274</v>
      </c>
      <c r="C21" s="15">
        <f>'Profit &amp; Loss Statement '!C18/AVERAGE('Balance Sheet '!C53:D53)</f>
        <v>4.8592760180995471</v>
      </c>
      <c r="D21" s="15">
        <f>'Profit &amp; Loss Statement '!D18/AVERAGE('Balance Sheet '!D53:E53)</f>
        <v>5.2311331437630537</v>
      </c>
      <c r="E21" s="15">
        <f>'Profit &amp; Loss Statement '!E18/AVERAGE('Balance Sheet '!E53:F53)</f>
        <v>5.4007185628742516</v>
      </c>
      <c r="F21" s="15">
        <f>'Profit &amp; Loss Statement '!F18/AVERAGE('Balance Sheet '!F53:G53)</f>
        <v>5.0007951129642203</v>
      </c>
      <c r="G21" s="15">
        <f>'Profit &amp; Loss Statement '!G18/AVERAGE('Balance Sheet '!G53:H53)</f>
        <v>5.1713928747207811</v>
      </c>
    </row>
    <row r="22" spans="2:7" ht="15" thickBot="1">
      <c r="B22" s="35" t="s">
        <v>263</v>
      </c>
      <c r="C22" s="16">
        <f>'Profit &amp; Loss Statement '!C18/AVERAGE('Balance Sheet '!C31:D31)</f>
        <v>40.610730323800517</v>
      </c>
      <c r="D22" s="16">
        <f>'Profit &amp; Loss Statement '!D18/AVERAGE('Balance Sheet '!D31:E31)</f>
        <v>40.800785083415114</v>
      </c>
      <c r="E22" s="16">
        <f>'Profit &amp; Loss Statement '!E18/AVERAGE('Balance Sheet '!E31:F31)</f>
        <v>50.422443586094737</v>
      </c>
      <c r="F22" s="16">
        <f>'Profit &amp; Loss Statement '!F18/AVERAGE('Balance Sheet '!F31:G31)</f>
        <v>49.390155142692969</v>
      </c>
      <c r="G22" s="16">
        <f>'Profit &amp; Loss Statement '!G18/AVERAGE('Balance Sheet '!G31:H31)</f>
        <v>50.070381231671554</v>
      </c>
    </row>
    <row r="23" spans="2:7" ht="15" thickBot="1">
      <c r="B23" s="23"/>
      <c r="C23" s="15"/>
      <c r="D23" s="15"/>
      <c r="E23" s="15"/>
      <c r="F23" s="15"/>
      <c r="G23" s="15"/>
    </row>
    <row r="24" spans="2:7" ht="15" thickBot="1">
      <c r="B24" s="34" t="s">
        <v>264</v>
      </c>
      <c r="C24" s="15"/>
      <c r="D24" s="15"/>
      <c r="E24" s="15"/>
      <c r="F24" s="15"/>
      <c r="G24" s="15"/>
    </row>
    <row r="25" spans="2:7" ht="15" thickBot="1">
      <c r="B25" s="35" t="s">
        <v>265</v>
      </c>
      <c r="C25" s="15">
        <f>'Income Statement '!C19/'Profit &amp; Loss Statement '!C16*100</f>
        <v>84.247834993947293</v>
      </c>
      <c r="D25" s="15">
        <f>'Income Statement '!D19/'Profit &amp; Loss Statement '!D16*100</f>
        <v>78.874350586877043</v>
      </c>
      <c r="E25" s="15">
        <f>'Income Statement '!E19/'Profit &amp; Loss Statement '!E16*100</f>
        <v>78.006515393423328</v>
      </c>
      <c r="F25" s="15">
        <f>'Income Statement '!F19/'Profit &amp; Loss Statement '!F16*100</f>
        <v>77.935051538395911</v>
      </c>
      <c r="G25" s="15">
        <f>'Income Statement '!G19/'Profit &amp; Loss Statement '!G16*100</f>
        <v>76.4773925266487</v>
      </c>
    </row>
    <row r="26" spans="2:7" ht="15" thickBot="1">
      <c r="B26" s="35" t="s">
        <v>266</v>
      </c>
      <c r="C26" s="15">
        <f>'Income Statement '!C25/'Profit &amp; Loss Statement '!C18*100</f>
        <v>55.780333364372851</v>
      </c>
      <c r="D26" s="15">
        <f>'Income Statement '!D25/'Profit &amp; Loss Statement '!D18*100</f>
        <v>52.101212237829522</v>
      </c>
      <c r="E26" s="15">
        <f>'Income Statement '!E25/'Profit &amp; Loss Statement '!E18*100</f>
        <v>53.256083990517197</v>
      </c>
      <c r="F26" s="15">
        <f>'Income Statement '!F25/'Profit &amp; Loss Statement '!F18*100</f>
        <v>53.304429432340825</v>
      </c>
      <c r="G26" s="15">
        <f>'Income Statement '!G25/'Profit &amp; Loss Statement '!G18*100</f>
        <v>51.952530162820665</v>
      </c>
    </row>
    <row r="27" spans="2:7" ht="15" thickBot="1">
      <c r="B27" s="35" t="s">
        <v>267</v>
      </c>
      <c r="C27" s="15">
        <f>'Income Statement '!C32/'Profit &amp; Loss Statement '!C18*100</f>
        <v>28.637442964894312</v>
      </c>
      <c r="D27" s="15">
        <f>'Income Statement '!D32/'Profit &amp; Loss Statement '!D18*100</f>
        <v>27.538002693861845</v>
      </c>
      <c r="E27" s="15">
        <f>'Income Statement '!E32/'Profit &amp; Loss Statement '!E18*100</f>
        <v>25.642266195752093</v>
      </c>
      <c r="F27" s="15">
        <f>'Income Statement '!F32/'Profit &amp; Loss Statement '!F18*100</f>
        <v>28.099865821783411</v>
      </c>
      <c r="G27" s="15">
        <f>'Income Statement '!G32/'Profit &amp; Loss Statement '!G18*100</f>
        <v>26.10841044863535</v>
      </c>
    </row>
    <row r="28" spans="2:7" ht="15" thickBot="1">
      <c r="B28" s="35" t="s">
        <v>268</v>
      </c>
      <c r="C28" s="15">
        <f>'Income Statement '!C38/'Profit &amp; Loss Statement '!C18*100</f>
        <v>21.007542601732005</v>
      </c>
      <c r="D28" s="15">
        <f>'Income Statement '!D38/'Profit &amp; Loss Statement '!D18*100</f>
        <v>20.430055801423901</v>
      </c>
      <c r="E28" s="15">
        <f>'Income Statement '!E38/'Profit &amp; Loss Statement '!E18*100</f>
        <v>18.762397793797476</v>
      </c>
      <c r="F28" s="15">
        <f>'Income Statement '!F38/'Profit &amp; Loss Statement '!F18*100</f>
        <v>21.122598558941466</v>
      </c>
      <c r="G28" s="15">
        <f>'Income Statement '!G38/'Profit &amp; Loss Statement '!G18*100</f>
        <v>18.71851938620124</v>
      </c>
    </row>
    <row r="29" spans="2:7" ht="15" thickBot="1">
      <c r="B29" s="35" t="s">
        <v>269</v>
      </c>
      <c r="C29" s="15">
        <f>'Income Statement '!C32/'Ratio Analysis'!C40</f>
        <v>0.80244618395303324</v>
      </c>
      <c r="D29" s="15">
        <f>'Income Statement '!D32/'Ratio Analysis'!D40</f>
        <v>1.0423145551873567</v>
      </c>
      <c r="E29" s="15">
        <f>'Income Statement '!E32/'Ratio Analysis'!E40</f>
        <v>1.2905844155844155</v>
      </c>
      <c r="F29" s="15">
        <f>'Income Statement '!F32/'Ratio Analysis'!F40</f>
        <v>0.82592440614599005</v>
      </c>
      <c r="G29" s="15">
        <f>'Income Statement '!G32/'Ratio Analysis'!G40</f>
        <v>0.78540281020129499</v>
      </c>
    </row>
    <row r="30" spans="2:7" ht="15" thickBot="1">
      <c r="B30" s="23"/>
      <c r="C30" s="15"/>
      <c r="D30" s="15"/>
      <c r="E30" s="15"/>
      <c r="F30" s="15"/>
      <c r="G30" s="15"/>
    </row>
    <row r="31" spans="2:7" ht="15" thickBot="1">
      <c r="B31" s="23"/>
      <c r="C31" s="15"/>
      <c r="D31" s="15"/>
      <c r="E31" s="15"/>
      <c r="F31" s="15"/>
      <c r="G31" s="15"/>
    </row>
    <row r="32" spans="2:7" ht="15" thickBot="1">
      <c r="B32" s="34" t="s">
        <v>270</v>
      </c>
      <c r="C32" s="15">
        <v>365</v>
      </c>
      <c r="D32" s="15">
        <v>365</v>
      </c>
      <c r="E32" s="15">
        <v>365</v>
      </c>
      <c r="F32" s="15">
        <v>365</v>
      </c>
      <c r="G32" s="15">
        <v>365</v>
      </c>
    </row>
    <row r="33" spans="2:8" ht="15" thickBot="1">
      <c r="B33" s="35" t="s">
        <v>271</v>
      </c>
      <c r="C33" s="15">
        <f>C32/C21</f>
        <v>75.114070211379087</v>
      </c>
      <c r="D33" s="15">
        <f t="shared" ref="D33:G33" si="1">D32/D21</f>
        <v>69.774557436982874</v>
      </c>
      <c r="E33" s="15">
        <f t="shared" si="1"/>
        <v>67.58359943232216</v>
      </c>
      <c r="F33" s="15">
        <f t="shared" si="1"/>
        <v>72.988393196466376</v>
      </c>
      <c r="G33" s="15">
        <f t="shared" si="1"/>
        <v>70.580597692397802</v>
      </c>
    </row>
    <row r="34" spans="2:8" ht="15" thickBot="1">
      <c r="B34" s="35" t="s">
        <v>272</v>
      </c>
      <c r="C34" s="15">
        <f>C32/C22</f>
        <v>8.9877723717292124</v>
      </c>
      <c r="D34" s="15">
        <f t="shared" ref="D34:G34" si="2">D32/D22</f>
        <v>8.9459062920915908</v>
      </c>
      <c r="E34" s="15">
        <f t="shared" si="2"/>
        <v>7.2388399696808419</v>
      </c>
      <c r="F34" s="15">
        <f t="shared" si="2"/>
        <v>7.3901367376854648</v>
      </c>
      <c r="G34" s="15">
        <f t="shared" si="2"/>
        <v>7.2897387841162002</v>
      </c>
    </row>
    <row r="39" spans="2:8" ht="15" thickBot="1"/>
    <row r="40" spans="2:8" ht="15" thickBot="1">
      <c r="B40" s="15" t="s">
        <v>273</v>
      </c>
      <c r="C40" s="16">
        <f>'Balance Sheet '!C57-'Balance Sheet '!C34</f>
        <v>30660</v>
      </c>
      <c r="D40" s="16">
        <f>'Balance Sheet '!D57-'Balance Sheet '!D34</f>
        <v>27461</v>
      </c>
      <c r="E40" s="16">
        <f>'Balance Sheet '!E57-'Balance Sheet '!E34</f>
        <v>24640</v>
      </c>
      <c r="F40" s="16">
        <f>'Balance Sheet '!F57-'Balance Sheet '!F34</f>
        <v>43866</v>
      </c>
      <c r="G40" s="16">
        <f>'Balance Sheet '!G57-'Balance Sheet '!G34</f>
        <v>45406</v>
      </c>
    </row>
    <row r="41" spans="2:8">
      <c r="H41" s="1"/>
    </row>
  </sheetData>
  <mergeCells count="1">
    <mergeCell ref="B10:G10"/>
  </mergeCells>
  <pageMargins left="0.7" right="0.7" top="0.75" bottom="0.75" header="0.3" footer="0.3"/>
  <pageSetup paperSize="9" orientation="portrait" r:id="rId1"/>
  <ignoredErrors>
    <ignoredError sqref="C18:G18 C19:G19 C21:G21 C22:G2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B10:R47"/>
  <sheetViews>
    <sheetView showGridLines="0" topLeftCell="C19" workbookViewId="0">
      <selection activeCell="H50" sqref="H50"/>
    </sheetView>
  </sheetViews>
  <sheetFormatPr defaultRowHeight="14.5"/>
  <cols>
    <col min="1" max="1" width="1.81640625" customWidth="1"/>
    <col min="3" max="3" width="15.36328125" bestFit="1" customWidth="1"/>
    <col min="6" max="6" width="16.26953125" bestFit="1" customWidth="1"/>
    <col min="7" max="7" width="9.7265625" bestFit="1" customWidth="1"/>
    <col min="8" max="8" width="13.1796875" customWidth="1"/>
    <col min="11" max="11" width="11.81640625" bestFit="1" customWidth="1"/>
  </cols>
  <sheetData>
    <row r="10" spans="2:11" ht="25.5">
      <c r="B10" s="30" t="s">
        <v>278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2:11">
      <c r="B11" s="4"/>
      <c r="C11" s="4"/>
      <c r="D11" s="4"/>
      <c r="E11" s="4"/>
      <c r="F11" s="4"/>
      <c r="G11" s="4"/>
      <c r="H11" s="4" t="s">
        <v>145</v>
      </c>
      <c r="I11" s="4" t="s">
        <v>145</v>
      </c>
      <c r="J11" s="4" t="s">
        <v>148</v>
      </c>
      <c r="K11" s="4" t="s">
        <v>148</v>
      </c>
    </row>
    <row r="12" spans="2:11" ht="17" thickBot="1">
      <c r="B12" s="4" t="s">
        <v>138</v>
      </c>
      <c r="C12" s="4" t="s">
        <v>139</v>
      </c>
      <c r="D12" s="4" t="s">
        <v>140</v>
      </c>
      <c r="E12" s="4" t="s">
        <v>142</v>
      </c>
      <c r="F12" s="4" t="s">
        <v>143</v>
      </c>
      <c r="G12" s="4" t="s">
        <v>144</v>
      </c>
      <c r="H12" s="4" t="s">
        <v>146</v>
      </c>
      <c r="I12" s="4" t="s">
        <v>147</v>
      </c>
      <c r="J12" s="4" t="s">
        <v>173</v>
      </c>
      <c r="K12" s="4" t="s">
        <v>174</v>
      </c>
    </row>
    <row r="13" spans="2:11" ht="15" thickBot="1">
      <c r="B13" s="15">
        <v>1</v>
      </c>
      <c r="C13" s="36" t="s">
        <v>128</v>
      </c>
      <c r="D13" s="36" t="s">
        <v>141</v>
      </c>
      <c r="E13" s="36">
        <v>9392</v>
      </c>
      <c r="F13" s="37">
        <v>97897</v>
      </c>
      <c r="G13" s="38">
        <v>0.3</v>
      </c>
      <c r="H13" s="15">
        <f>E13/F13</f>
        <v>9.5937567034740601E-2</v>
      </c>
      <c r="I13" s="15">
        <f>E13/SUM(E13:F13)</f>
        <v>8.7539263111782201E-2</v>
      </c>
      <c r="J13" s="39">
        <v>1</v>
      </c>
      <c r="K13" s="15">
        <f>J13/(1+(1-G13)*F13)</f>
        <v>1.4592383651277053E-5</v>
      </c>
    </row>
    <row r="14" spans="2:11" ht="15" thickBot="1">
      <c r="B14" s="15">
        <v>2</v>
      </c>
      <c r="C14" s="36" t="s">
        <v>129</v>
      </c>
      <c r="D14" s="36" t="s">
        <v>141</v>
      </c>
      <c r="E14" s="36">
        <v>8227</v>
      </c>
      <c r="F14" s="37">
        <v>96203</v>
      </c>
      <c r="G14" s="38">
        <v>0.3</v>
      </c>
      <c r="H14" s="15">
        <f t="shared" ref="H14:H21" si="0">E14/F14</f>
        <v>8.5517083666829516E-2</v>
      </c>
      <c r="I14" s="15">
        <f t="shared" ref="I14:I22" si="1">E14/SUM(E14:F14)</f>
        <v>7.8780044048645026E-2</v>
      </c>
      <c r="J14" s="39">
        <v>1</v>
      </c>
      <c r="K14" s="15">
        <f t="shared" ref="K14:K22" si="2">J14/(1+(1-G14)*F14)</f>
        <v>1.4849331260366691E-5</v>
      </c>
    </row>
    <row r="15" spans="2:11" ht="15" thickBot="1">
      <c r="B15" s="15">
        <v>3</v>
      </c>
      <c r="C15" s="36" t="s">
        <v>130</v>
      </c>
      <c r="D15" s="36" t="s">
        <v>141</v>
      </c>
      <c r="E15" s="36">
        <v>6276</v>
      </c>
      <c r="F15" s="37">
        <v>69673</v>
      </c>
      <c r="G15" s="38">
        <v>0.3</v>
      </c>
      <c r="H15" s="15">
        <f t="shared" si="0"/>
        <v>9.0077935498686729E-2</v>
      </c>
      <c r="I15" s="15">
        <f t="shared" si="1"/>
        <v>8.2634399399597103E-2</v>
      </c>
      <c r="J15" s="39">
        <v>1</v>
      </c>
      <c r="K15" s="15">
        <f t="shared" si="2"/>
        <v>2.0503525581223691E-5</v>
      </c>
    </row>
    <row r="16" spans="2:11" ht="15" thickBot="1">
      <c r="B16" s="15">
        <v>4</v>
      </c>
      <c r="C16" s="36" t="s">
        <v>131</v>
      </c>
      <c r="D16" s="36" t="s">
        <v>141</v>
      </c>
      <c r="E16" s="36">
        <v>19203.5</v>
      </c>
      <c r="F16" s="37">
        <v>830447000000</v>
      </c>
      <c r="G16" s="38">
        <v>0.3</v>
      </c>
      <c r="H16" s="15">
        <f t="shared" si="0"/>
        <v>2.3124293302281783E-8</v>
      </c>
      <c r="I16" s="15">
        <f t="shared" si="1"/>
        <v>2.3124292767548854E-8</v>
      </c>
      <c r="J16" s="39">
        <v>1</v>
      </c>
      <c r="K16" s="15">
        <f t="shared" si="2"/>
        <v>1.7202439512322533E-12</v>
      </c>
    </row>
    <row r="17" spans="2:18" ht="15" thickBot="1">
      <c r="B17" s="15">
        <v>5</v>
      </c>
      <c r="C17" s="36" t="s">
        <v>132</v>
      </c>
      <c r="D17" s="36" t="s">
        <v>141</v>
      </c>
      <c r="E17" s="36">
        <v>2187.3000000000002</v>
      </c>
      <c r="F17" s="37">
        <v>22711</v>
      </c>
      <c r="G17" s="38">
        <v>0.3</v>
      </c>
      <c r="H17" s="15">
        <f t="shared" si="0"/>
        <v>9.6310158073180399E-2</v>
      </c>
      <c r="I17" s="15">
        <f t="shared" si="1"/>
        <v>8.7849371242213328E-2</v>
      </c>
      <c r="J17" s="39">
        <v>1</v>
      </c>
      <c r="K17" s="15">
        <f t="shared" si="2"/>
        <v>6.2898224383125666E-5</v>
      </c>
    </row>
    <row r="18" spans="2:18" ht="15" thickBot="1">
      <c r="B18" s="15">
        <v>6</v>
      </c>
      <c r="C18" s="36" t="s">
        <v>133</v>
      </c>
      <c r="D18" s="36" t="s">
        <v>141</v>
      </c>
      <c r="E18" s="36">
        <v>2025.2</v>
      </c>
      <c r="F18" s="37">
        <v>27791</v>
      </c>
      <c r="G18" s="38">
        <v>0.3</v>
      </c>
      <c r="H18" s="15">
        <f t="shared" si="0"/>
        <v>7.2872512683962429E-2</v>
      </c>
      <c r="I18" s="15">
        <f t="shared" si="1"/>
        <v>6.7922807064615884E-2</v>
      </c>
      <c r="J18" s="39">
        <v>1</v>
      </c>
      <c r="K18" s="15">
        <f t="shared" si="2"/>
        <v>5.1401460829516783E-5</v>
      </c>
    </row>
    <row r="19" spans="2:18" ht="15" thickBot="1">
      <c r="B19" s="15">
        <v>7</v>
      </c>
      <c r="C19" s="36" t="s">
        <v>134</v>
      </c>
      <c r="D19" s="36" t="s">
        <v>141</v>
      </c>
      <c r="E19" s="36">
        <v>310.89999999999998</v>
      </c>
      <c r="F19" s="40">
        <v>49577.07</v>
      </c>
      <c r="G19" s="38">
        <v>0.3</v>
      </c>
      <c r="H19" s="15">
        <f t="shared" si="0"/>
        <v>6.2710442549347911E-3</v>
      </c>
      <c r="I19" s="15">
        <f t="shared" si="1"/>
        <v>6.2319633370530002E-3</v>
      </c>
      <c r="J19" s="39">
        <v>1</v>
      </c>
      <c r="K19" s="15">
        <f t="shared" si="2"/>
        <v>2.8814334232273327E-5</v>
      </c>
    </row>
    <row r="20" spans="2:18" ht="15" thickBot="1">
      <c r="B20" s="15">
        <v>8</v>
      </c>
      <c r="C20" s="36" t="s">
        <v>135</v>
      </c>
      <c r="D20" s="36" t="s">
        <v>141</v>
      </c>
      <c r="E20" s="36">
        <v>45.6</v>
      </c>
      <c r="F20" s="37">
        <v>7205308440000</v>
      </c>
      <c r="G20" s="38">
        <v>0.3</v>
      </c>
      <c r="H20" s="15">
        <f t="shared" si="0"/>
        <v>6.3286673124016883E-12</v>
      </c>
      <c r="I20" s="15">
        <f t="shared" si="1"/>
        <v>6.3286673123616363E-12</v>
      </c>
      <c r="J20" s="39">
        <v>1</v>
      </c>
      <c r="K20" s="15">
        <f t="shared" si="2"/>
        <v>1.9826651981204365E-13</v>
      </c>
    </row>
    <row r="21" spans="2:18" ht="15" thickBot="1">
      <c r="B21" s="15">
        <v>9</v>
      </c>
      <c r="C21" s="36" t="s">
        <v>136</v>
      </c>
      <c r="D21" s="36" t="s">
        <v>141</v>
      </c>
      <c r="E21" s="36">
        <v>1070.4000000000001</v>
      </c>
      <c r="F21" s="40">
        <v>6107.7</v>
      </c>
      <c r="G21" s="38">
        <v>0.3</v>
      </c>
      <c r="H21" s="15">
        <f t="shared" si="0"/>
        <v>0.17525418733729556</v>
      </c>
      <c r="I21" s="15">
        <f t="shared" si="1"/>
        <v>0.14912024073222718</v>
      </c>
      <c r="J21" s="39">
        <v>1</v>
      </c>
      <c r="K21" s="15">
        <f t="shared" si="2"/>
        <v>2.3384209578639929E-4</v>
      </c>
    </row>
    <row r="22" spans="2:18" ht="15" thickBot="1">
      <c r="B22" s="15">
        <v>10</v>
      </c>
      <c r="C22" s="36" t="s">
        <v>137</v>
      </c>
      <c r="D22" s="36" t="s">
        <v>141</v>
      </c>
      <c r="E22" s="36">
        <v>1115.94</v>
      </c>
      <c r="F22" s="37">
        <v>7541441250</v>
      </c>
      <c r="G22" s="38">
        <v>0.3</v>
      </c>
      <c r="H22" s="15">
        <f>E22/F22</f>
        <v>1.4797436763165132E-7</v>
      </c>
      <c r="I22" s="15">
        <f t="shared" si="1"/>
        <v>1.479743457352411E-7</v>
      </c>
      <c r="J22" s="39">
        <v>1</v>
      </c>
      <c r="K22" s="15">
        <f t="shared" si="2"/>
        <v>1.8942949775028944E-10</v>
      </c>
    </row>
    <row r="25" spans="2:18" ht="19" thickBot="1">
      <c r="B25" s="5" t="s">
        <v>149</v>
      </c>
      <c r="C25" s="6"/>
      <c r="D25" s="6"/>
      <c r="E25" s="6"/>
      <c r="F25" s="6"/>
      <c r="G25" s="6"/>
      <c r="H25" s="6"/>
      <c r="L25" s="5" t="s">
        <v>152</v>
      </c>
      <c r="M25" s="6"/>
      <c r="N25" s="6"/>
      <c r="O25" s="6"/>
      <c r="P25" s="6"/>
      <c r="Q25" s="6"/>
      <c r="R25" s="6"/>
    </row>
    <row r="26" spans="2:18" ht="15.5" thickTop="1" thickBot="1"/>
    <row r="27" spans="2:18" ht="15" thickBot="1">
      <c r="B27" s="44" t="s">
        <v>150</v>
      </c>
      <c r="C27" s="44"/>
      <c r="D27" s="44"/>
      <c r="E27" s="44"/>
      <c r="F27" s="44"/>
      <c r="G27" s="44"/>
      <c r="H27" s="45">
        <v>8.4000000000000005E-2</v>
      </c>
      <c r="L27" s="44" t="s">
        <v>153</v>
      </c>
      <c r="M27" s="44"/>
      <c r="N27" s="44"/>
      <c r="O27" s="44"/>
      <c r="P27" s="44"/>
      <c r="Q27" s="44"/>
      <c r="R27" s="45">
        <v>7.5999999999999998E-2</v>
      </c>
    </row>
    <row r="28" spans="2:18" ht="15" thickBot="1">
      <c r="B28" s="44" t="s">
        <v>144</v>
      </c>
      <c r="C28" s="44"/>
      <c r="D28" s="44"/>
      <c r="E28" s="44"/>
      <c r="F28" s="44"/>
      <c r="G28" s="44"/>
      <c r="H28" s="46">
        <v>0.3</v>
      </c>
      <c r="L28" s="44" t="s">
        <v>154</v>
      </c>
      <c r="M28" s="44"/>
      <c r="N28" s="44"/>
      <c r="O28" s="44"/>
      <c r="P28" s="44"/>
      <c r="Q28" s="44"/>
      <c r="R28" s="45">
        <v>0.09</v>
      </c>
    </row>
    <row r="29" spans="2:18" ht="17" thickBot="1">
      <c r="B29" s="44" t="s">
        <v>151</v>
      </c>
      <c r="C29" s="44"/>
      <c r="D29" s="44"/>
      <c r="E29" s="44"/>
      <c r="F29" s="44"/>
      <c r="G29" s="44"/>
      <c r="H29" s="47">
        <f>H27*(1-H28)</f>
        <v>5.8799999999999998E-2</v>
      </c>
      <c r="L29" s="44" t="s">
        <v>155</v>
      </c>
      <c r="M29" s="44"/>
      <c r="N29" s="44"/>
      <c r="O29" s="44"/>
      <c r="P29" s="44"/>
      <c r="Q29" s="44"/>
      <c r="R29" s="47">
        <f>R39</f>
        <v>9.5000000000000001E-2</v>
      </c>
    </row>
    <row r="30" spans="2:18" ht="15" thickBot="1">
      <c r="L30" s="44" t="s">
        <v>156</v>
      </c>
      <c r="M30" s="44"/>
      <c r="N30" s="44"/>
      <c r="O30" s="44"/>
      <c r="P30" s="44"/>
      <c r="Q30" s="44"/>
      <c r="R30" s="47">
        <f>R27+R28*R29</f>
        <v>8.455E-2</v>
      </c>
    </row>
    <row r="34" spans="2:18" ht="19" thickBot="1">
      <c r="B34" s="5" t="s">
        <v>157</v>
      </c>
      <c r="C34" s="6"/>
      <c r="D34" s="6"/>
      <c r="E34" s="6"/>
      <c r="F34" s="6"/>
      <c r="G34" s="6"/>
      <c r="H34" s="6"/>
      <c r="L34" s="5" t="s">
        <v>162</v>
      </c>
      <c r="M34" s="6"/>
      <c r="N34" s="6"/>
      <c r="O34" s="6"/>
      <c r="P34" s="6"/>
      <c r="Q34" s="6"/>
      <c r="R34" s="6"/>
    </row>
    <row r="35" spans="2:18" ht="15.5" thickTop="1" thickBot="1"/>
    <row r="36" spans="2:18" ht="15" thickBot="1">
      <c r="B36" s="44"/>
      <c r="C36" s="44"/>
      <c r="D36" s="44"/>
      <c r="E36" s="44"/>
      <c r="F36" s="44"/>
      <c r="G36" s="49" t="s">
        <v>158</v>
      </c>
      <c r="H36" s="49" t="s">
        <v>159</v>
      </c>
      <c r="L36" s="44" t="s">
        <v>163</v>
      </c>
      <c r="M36" s="44"/>
      <c r="N36" s="44"/>
      <c r="O36" s="44"/>
      <c r="P36" s="44"/>
      <c r="Q36" s="44"/>
      <c r="R36" s="45">
        <v>6.5000000000000002E-2</v>
      </c>
    </row>
    <row r="37" spans="2:18" ht="15" thickBot="1">
      <c r="B37" s="44" t="s">
        <v>142</v>
      </c>
      <c r="C37" s="44"/>
      <c r="D37" s="44"/>
      <c r="E37" s="44"/>
      <c r="F37" s="50">
        <v>9456783</v>
      </c>
      <c r="G37" s="51">
        <f>F37/$F$39</f>
        <v>0.7317033597073429</v>
      </c>
      <c r="H37" s="46">
        <v>0.45</v>
      </c>
      <c r="L37" s="44" t="s">
        <v>164</v>
      </c>
      <c r="M37" s="44"/>
      <c r="N37" s="44"/>
      <c r="O37" s="44"/>
      <c r="P37" s="44"/>
      <c r="Q37" s="44"/>
      <c r="R37" s="45">
        <v>0.08</v>
      </c>
    </row>
    <row r="38" spans="2:18" ht="15" thickBot="1">
      <c r="B38" s="44" t="s">
        <v>160</v>
      </c>
      <c r="C38" s="44"/>
      <c r="D38" s="44"/>
      <c r="E38" s="44"/>
      <c r="F38" s="50">
        <v>3467557</v>
      </c>
      <c r="G38" s="51">
        <f t="shared" ref="G38:G39" si="3">F38/$F$39</f>
        <v>0.2682966402926571</v>
      </c>
      <c r="H38" s="46">
        <f>H39-H37</f>
        <v>0.55000000000000004</v>
      </c>
      <c r="L38" s="44" t="s">
        <v>165</v>
      </c>
      <c r="M38" s="44"/>
      <c r="N38" s="44"/>
      <c r="O38" s="44"/>
      <c r="P38" s="44"/>
      <c r="Q38" s="44"/>
      <c r="R38" s="46">
        <f>G13</f>
        <v>0.3</v>
      </c>
    </row>
    <row r="39" spans="2:18" ht="15" thickBot="1">
      <c r="B39" s="44" t="s">
        <v>161</v>
      </c>
      <c r="C39" s="44"/>
      <c r="D39" s="44"/>
      <c r="E39" s="44"/>
      <c r="F39" s="50">
        <f>SUM(F37:F38)</f>
        <v>12924340</v>
      </c>
      <c r="G39" s="51">
        <f t="shared" si="3"/>
        <v>1</v>
      </c>
      <c r="H39" s="46">
        <f>G39</f>
        <v>1</v>
      </c>
      <c r="L39" s="44" t="s">
        <v>166</v>
      </c>
      <c r="M39" s="44"/>
      <c r="N39" s="44"/>
      <c r="O39" s="44"/>
      <c r="P39" s="44"/>
      <c r="Q39" s="44"/>
      <c r="R39" s="47">
        <v>9.5000000000000001E-2</v>
      </c>
    </row>
    <row r="41" spans="2:18" ht="15" thickBot="1"/>
    <row r="42" spans="2:18" ht="19" thickBot="1">
      <c r="B42" s="44" t="s">
        <v>167</v>
      </c>
      <c r="C42" s="44"/>
      <c r="D42" s="44"/>
      <c r="E42" s="44"/>
      <c r="F42" s="44"/>
      <c r="G42" s="47">
        <f>G37/G38</f>
        <v>2.7272177501335957</v>
      </c>
      <c r="H42" s="47">
        <f>H37/H38</f>
        <v>0.81818181818181812</v>
      </c>
      <c r="L42" s="5" t="s">
        <v>168</v>
      </c>
      <c r="M42" s="6"/>
      <c r="N42" s="6"/>
      <c r="O42" s="6"/>
      <c r="P42" s="6"/>
      <c r="Q42" s="6"/>
      <c r="R42" s="6"/>
    </row>
    <row r="43" spans="2:18" ht="15" thickBot="1"/>
    <row r="44" spans="2:18" ht="15" thickBot="1">
      <c r="L44" s="44"/>
      <c r="M44" s="44"/>
      <c r="N44" s="44"/>
      <c r="O44" s="44"/>
      <c r="P44" s="44"/>
      <c r="Q44" s="48" t="s">
        <v>169</v>
      </c>
      <c r="R44" s="48" t="s">
        <v>170</v>
      </c>
    </row>
    <row r="45" spans="2:18" ht="15" thickBot="1">
      <c r="L45" s="44" t="s">
        <v>171</v>
      </c>
      <c r="M45" s="44"/>
      <c r="N45" s="44"/>
      <c r="O45" s="44"/>
      <c r="P45" s="44"/>
      <c r="Q45" s="45">
        <f>H29</f>
        <v>5.8799999999999998E-2</v>
      </c>
      <c r="R45" s="46">
        <f>H37</f>
        <v>0.45</v>
      </c>
    </row>
    <row r="46" spans="2:18" ht="15" thickBot="1">
      <c r="L46" s="44" t="s">
        <v>172</v>
      </c>
      <c r="M46" s="44"/>
      <c r="N46" s="44"/>
      <c r="O46" s="44"/>
      <c r="P46" s="44"/>
      <c r="Q46" s="45">
        <f>R29</f>
        <v>9.5000000000000001E-2</v>
      </c>
      <c r="R46" s="46">
        <f>H38</f>
        <v>0.55000000000000004</v>
      </c>
    </row>
    <row r="47" spans="2:18" ht="15" thickBot="1">
      <c r="L47" s="44" t="s">
        <v>168</v>
      </c>
      <c r="M47" s="44"/>
      <c r="N47" s="44"/>
      <c r="O47" s="44"/>
      <c r="P47" s="44"/>
      <c r="Q47" s="27">
        <f>SUMPRODUCT(Q45:Q46,R45:R46)</f>
        <v>7.8710000000000002E-2</v>
      </c>
      <c r="R47" s="27"/>
    </row>
  </sheetData>
  <mergeCells count="2">
    <mergeCell ref="Q47:R47"/>
    <mergeCell ref="B10:K10"/>
  </mergeCells>
  <pageMargins left="0.7" right="0.7" top="0.75" bottom="0.75" header="0.3" footer="0.3"/>
  <ignoredErrors>
    <ignoredError sqref="I13 I14:I2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</sheetPr>
  <dimension ref="A10:G75"/>
  <sheetViews>
    <sheetView showGridLines="0" workbookViewId="0">
      <selection activeCell="K66" sqref="K66"/>
    </sheetView>
  </sheetViews>
  <sheetFormatPr defaultRowHeight="14.5"/>
  <cols>
    <col min="1" max="1" width="1.81640625" customWidth="1"/>
    <col min="2" max="2" width="35.26953125" bestFit="1" customWidth="1"/>
    <col min="3" max="7" width="9.36328125" bestFit="1" customWidth="1"/>
  </cols>
  <sheetData>
    <row r="10" spans="2:7" ht="25.5">
      <c r="B10" s="30" t="s">
        <v>228</v>
      </c>
      <c r="C10" s="30"/>
      <c r="D10" s="30"/>
      <c r="E10" s="30"/>
      <c r="F10" s="30"/>
      <c r="G10" s="30"/>
    </row>
    <row r="11" spans="2:7">
      <c r="B11" s="13" t="s">
        <v>208</v>
      </c>
      <c r="C11" s="13"/>
      <c r="D11" s="13"/>
      <c r="E11" s="13"/>
      <c r="F11" s="13"/>
      <c r="G11" s="13"/>
    </row>
    <row r="12" spans="2:7">
      <c r="B12" s="10"/>
      <c r="C12" s="10"/>
      <c r="D12" s="10"/>
      <c r="E12" s="10"/>
      <c r="F12" s="10"/>
      <c r="G12" s="10"/>
    </row>
    <row r="13" spans="2:7">
      <c r="B13" s="4" t="s">
        <v>201</v>
      </c>
      <c r="C13" s="4">
        <v>2021</v>
      </c>
      <c r="D13" s="4">
        <f>C13+1</f>
        <v>2022</v>
      </c>
      <c r="E13" s="4">
        <f t="shared" ref="E13:G13" si="0">D13+1</f>
        <v>2023</v>
      </c>
      <c r="F13" s="4">
        <f t="shared" si="0"/>
        <v>2024</v>
      </c>
      <c r="G13" s="4">
        <f t="shared" si="0"/>
        <v>2025</v>
      </c>
    </row>
    <row r="14" spans="2:7" ht="15" thickBot="1"/>
    <row r="15" spans="2:7" ht="15" thickBot="1">
      <c r="B15" s="24" t="s">
        <v>203</v>
      </c>
      <c r="C15" s="24"/>
      <c r="D15" s="24"/>
      <c r="E15" s="24"/>
      <c r="F15" s="24"/>
      <c r="G15" s="24"/>
    </row>
    <row r="16" spans="2:7" ht="15" thickBot="1">
      <c r="B16" s="15" t="str">
        <f>'Balance Sheet '!B52</f>
        <v>Inventories</v>
      </c>
      <c r="C16" s="15">
        <f>'Balance Sheet '!C52</f>
        <v>0</v>
      </c>
      <c r="D16" s="15">
        <f>'Balance Sheet '!D52</f>
        <v>0</v>
      </c>
      <c r="E16" s="15">
        <f>'Balance Sheet '!E52</f>
        <v>0</v>
      </c>
      <c r="F16" s="15">
        <f>'Balance Sheet '!F52</f>
        <v>0</v>
      </c>
      <c r="G16" s="15">
        <f>'Balance Sheet '!G52</f>
        <v>0</v>
      </c>
    </row>
    <row r="17" spans="1:7" ht="15" thickBot="1">
      <c r="B17" s="15" t="str">
        <f>'Balance Sheet '!B53</f>
        <v>Trade Receivables</v>
      </c>
      <c r="C17" s="15">
        <f>'Balance Sheet '!C53</f>
        <v>16394</v>
      </c>
      <c r="D17" s="15">
        <f>'Balance Sheet '!D53</f>
        <v>18966</v>
      </c>
      <c r="E17" s="15">
        <f>'Balance Sheet '!E53</f>
        <v>20773</v>
      </c>
      <c r="F17" s="15">
        <f>'Balance Sheet '!F53</f>
        <v>25152</v>
      </c>
      <c r="G17" s="15">
        <f>'Balance Sheet '!G53</f>
        <v>26413</v>
      </c>
    </row>
    <row r="18" spans="1:7" ht="15" thickBot="1">
      <c r="B18" s="15" t="str">
        <f>'Balance Sheet '!B55</f>
        <v>Short Term Loans And Advances</v>
      </c>
      <c r="C18" s="15">
        <f>'Balance Sheet '!C55</f>
        <v>229</v>
      </c>
      <c r="D18" s="15">
        <f>'Balance Sheet '!D55</f>
        <v>219</v>
      </c>
      <c r="E18" s="15">
        <f>'Balance Sheet '!E55</f>
        <v>291</v>
      </c>
      <c r="F18" s="15">
        <f>'Balance Sheet '!F55</f>
        <v>208</v>
      </c>
      <c r="G18" s="15">
        <f>'Balance Sheet '!G55</f>
        <v>207</v>
      </c>
    </row>
    <row r="19" spans="1:7" ht="15" thickBot="1">
      <c r="B19" s="15" t="str">
        <f>'Balance Sheet '!B56</f>
        <v>OtherCurrentAssets</v>
      </c>
      <c r="C19" s="15">
        <f>'Balance Sheet '!C56</f>
        <v>12010</v>
      </c>
      <c r="D19" s="15">
        <f>'Balance Sheet '!D56</f>
        <v>15515</v>
      </c>
      <c r="E19" s="15">
        <f>'Balance Sheet '!E56</f>
        <v>20008</v>
      </c>
      <c r="F19" s="15">
        <f>'Balance Sheet '!F56</f>
        <v>26094</v>
      </c>
      <c r="G19" s="15">
        <f>'Balance Sheet '!G56</f>
        <v>25136</v>
      </c>
    </row>
    <row r="20" spans="1:7" ht="15" thickBot="1">
      <c r="B20" s="18" t="s">
        <v>202</v>
      </c>
      <c r="C20" s="18">
        <f>SUM(C16:C19)</f>
        <v>28633</v>
      </c>
      <c r="D20" s="18">
        <f t="shared" ref="D20:G20" si="1">SUM(D16:D19)</f>
        <v>34700</v>
      </c>
      <c r="E20" s="18">
        <f t="shared" si="1"/>
        <v>41072</v>
      </c>
      <c r="F20" s="18">
        <f t="shared" si="1"/>
        <v>51454</v>
      </c>
      <c r="G20" s="18">
        <f t="shared" si="1"/>
        <v>51756</v>
      </c>
    </row>
    <row r="21" spans="1:7" ht="15" thickBot="1">
      <c r="B21" s="15"/>
      <c r="C21" s="15"/>
      <c r="D21" s="15"/>
      <c r="E21" s="15"/>
      <c r="F21" s="15"/>
      <c r="G21" s="15"/>
    </row>
    <row r="22" spans="1:7" ht="15" thickBot="1">
      <c r="B22" s="23" t="s">
        <v>204</v>
      </c>
      <c r="C22" s="23"/>
      <c r="D22" s="23"/>
      <c r="E22" s="23"/>
      <c r="F22" s="23"/>
      <c r="G22" s="23"/>
    </row>
    <row r="23" spans="1:7" ht="15" thickBot="1">
      <c r="B23" s="15" t="str">
        <f>'Balance Sheet '!B31</f>
        <v>Trade Payables</v>
      </c>
      <c r="C23" s="16">
        <f>'Balance Sheet '!C31</f>
        <v>1562</v>
      </c>
      <c r="D23" s="16">
        <f>'Balance Sheet '!D31</f>
        <v>2669</v>
      </c>
      <c r="E23" s="16">
        <f>'Balance Sheet '!E31</f>
        <v>2426</v>
      </c>
      <c r="F23" s="16">
        <f>'Balance Sheet '!F31</f>
        <v>2493</v>
      </c>
      <c r="G23" s="16">
        <f>'Balance Sheet '!G31</f>
        <v>2728</v>
      </c>
    </row>
    <row r="24" spans="1:7" ht="15" thickBot="1">
      <c r="B24" s="15" t="str">
        <f>'Balance Sheet '!B32</f>
        <v>Other Current Liabilities</v>
      </c>
      <c r="C24" s="16">
        <f>'Balance Sheet '!C32</f>
        <v>15399</v>
      </c>
      <c r="D24" s="16">
        <f>'Balance Sheet '!D32</f>
        <v>21387</v>
      </c>
      <c r="E24" s="16">
        <f>'Balance Sheet '!E32</f>
        <v>23853</v>
      </c>
      <c r="F24" s="16">
        <f>'Balance Sheet '!F32</f>
        <v>23129</v>
      </c>
      <c r="G24" s="16">
        <f>'Balance Sheet '!G32</f>
        <v>28041</v>
      </c>
    </row>
    <row r="25" spans="1:7" ht="15" thickBot="1">
      <c r="B25" s="15" t="str">
        <f>'Balance Sheet '!B33</f>
        <v>Short Term Provisions</v>
      </c>
      <c r="C25" s="16">
        <f>'Balance Sheet '!C33</f>
        <v>661</v>
      </c>
      <c r="D25" s="16">
        <f>'Balance Sheet '!D33</f>
        <v>920</v>
      </c>
      <c r="E25" s="16">
        <f>'Balance Sheet '!E33</f>
        <v>1163</v>
      </c>
      <c r="F25" s="16">
        <f>'Balance Sheet '!F33</f>
        <v>1464</v>
      </c>
      <c r="G25" s="16">
        <f>'Balance Sheet '!G33</f>
        <v>993</v>
      </c>
    </row>
    <row r="26" spans="1:7" ht="15" thickBot="1">
      <c r="B26" s="18" t="s">
        <v>205</v>
      </c>
      <c r="C26" s="52">
        <f>SUM(C23:C25)</f>
        <v>17622</v>
      </c>
      <c r="D26" s="52">
        <f t="shared" ref="D26:G26" si="2">SUM(D23:D25)</f>
        <v>24976</v>
      </c>
      <c r="E26" s="52">
        <f t="shared" si="2"/>
        <v>27442</v>
      </c>
      <c r="F26" s="52">
        <f t="shared" si="2"/>
        <v>27086</v>
      </c>
      <c r="G26" s="52">
        <f t="shared" si="2"/>
        <v>31762</v>
      </c>
    </row>
    <row r="27" spans="1:7" ht="15" thickBot="1">
      <c r="B27" s="15"/>
      <c r="C27" s="15"/>
      <c r="D27" s="15"/>
      <c r="E27" s="15"/>
      <c r="F27" s="15"/>
      <c r="G27" s="15"/>
    </row>
    <row r="28" spans="1:7" ht="15" thickBot="1">
      <c r="A28" t="s">
        <v>207</v>
      </c>
      <c r="B28" s="18" t="s">
        <v>206</v>
      </c>
      <c r="C28" s="52">
        <f>C20-C26</f>
        <v>11011</v>
      </c>
      <c r="D28" s="52">
        <f t="shared" ref="D28:G28" si="3">D20-D26</f>
        <v>9724</v>
      </c>
      <c r="E28" s="52">
        <f t="shared" si="3"/>
        <v>13630</v>
      </c>
      <c r="F28" s="52">
        <f t="shared" si="3"/>
        <v>24368</v>
      </c>
      <c r="G28" s="52">
        <f t="shared" si="3"/>
        <v>19994</v>
      </c>
    </row>
    <row r="29" spans="1:7" ht="15" thickBot="1">
      <c r="B29" s="15"/>
      <c r="C29" s="15"/>
      <c r="D29" s="15"/>
      <c r="E29" s="15"/>
      <c r="F29" s="15"/>
      <c r="G29" s="15"/>
    </row>
    <row r="30" spans="1:7" ht="15" thickBot="1">
      <c r="B30" s="23" t="s">
        <v>209</v>
      </c>
      <c r="C30" s="23"/>
      <c r="D30" s="23"/>
      <c r="E30" s="23"/>
      <c r="F30" s="23"/>
      <c r="G30" s="23"/>
    </row>
    <row r="31" spans="1:7" ht="15" thickBot="1">
      <c r="B31" s="15" t="str">
        <f>'Balance Sheet '!B39</f>
        <v>Tangible Assets</v>
      </c>
      <c r="C31" s="16">
        <f>'Balance Sheet '!C39</f>
        <v>14365</v>
      </c>
      <c r="D31" s="16">
        <f>'Balance Sheet '!D39</f>
        <v>14695</v>
      </c>
      <c r="E31" s="16">
        <f>'Balance Sheet '!E39</f>
        <v>15217</v>
      </c>
      <c r="F31" s="16">
        <f>'Balance Sheet '!F39</f>
        <v>14116</v>
      </c>
      <c r="G31" s="16">
        <f>'Balance Sheet '!G39</f>
        <v>13148</v>
      </c>
    </row>
    <row r="32" spans="1:7" ht="15" thickBot="1">
      <c r="B32" s="15" t="str">
        <f>'Balance Sheet '!B40</f>
        <v>Intangible Assets</v>
      </c>
      <c r="C32" s="16">
        <f>'Balance Sheet '!C40</f>
        <v>234</v>
      </c>
      <c r="D32" s="16">
        <f>'Balance Sheet '!D40</f>
        <v>243</v>
      </c>
      <c r="E32" s="16">
        <f>'Balance Sheet '!E40</f>
        <v>214</v>
      </c>
      <c r="F32" s="16">
        <f>'Balance Sheet '!F40</f>
        <v>211</v>
      </c>
      <c r="G32" s="16">
        <f>'Balance Sheet '!G40</f>
        <v>211</v>
      </c>
    </row>
    <row r="33" spans="1:7" ht="15" thickBot="1">
      <c r="B33" s="15" t="str">
        <f>'Balance Sheet '!B41</f>
        <v>Capital Work-In-Progress</v>
      </c>
      <c r="C33" s="16">
        <f>'Balance Sheet '!C41</f>
        <v>906</v>
      </c>
      <c r="D33" s="16">
        <f>'Balance Sheet '!D41</f>
        <v>411</v>
      </c>
      <c r="E33" s="16">
        <f>'Balance Sheet '!E41</f>
        <v>275</v>
      </c>
      <c r="F33" s="16">
        <f>'Balance Sheet '!F41</f>
        <v>277</v>
      </c>
      <c r="G33" s="16">
        <f>'Balance Sheet '!G41</f>
        <v>778</v>
      </c>
    </row>
    <row r="34" spans="1:7" ht="15" thickBot="1">
      <c r="B34" s="15" t="str">
        <f>'Balance Sheet '!B43</f>
        <v>Fixed Assets</v>
      </c>
      <c r="C34" s="16">
        <f>'Balance Sheet '!C43</f>
        <v>15505</v>
      </c>
      <c r="D34" s="16">
        <f>'Balance Sheet '!D43</f>
        <v>15349</v>
      </c>
      <c r="E34" s="16">
        <f>'Balance Sheet '!E43</f>
        <v>15706</v>
      </c>
      <c r="F34" s="16">
        <f>'Balance Sheet '!F43</f>
        <v>14604</v>
      </c>
      <c r="G34" s="16">
        <f>'Balance Sheet '!G43</f>
        <v>14137</v>
      </c>
    </row>
    <row r="35" spans="1:7" ht="15" thickBot="1">
      <c r="B35" s="15" t="str">
        <f>'Balance Sheet '!B44</f>
        <v>Non-Current Investments</v>
      </c>
      <c r="C35" s="16">
        <f>'Balance Sheet '!C44</f>
        <v>22118</v>
      </c>
      <c r="D35" s="16">
        <f>'Balance Sheet '!D44</f>
        <v>22869</v>
      </c>
      <c r="E35" s="16">
        <f>'Balance Sheet '!E44</f>
        <v>23686</v>
      </c>
      <c r="F35" s="16">
        <f>'Balance Sheet '!F44</f>
        <v>23352</v>
      </c>
      <c r="G35" s="16">
        <f>'Balance Sheet '!G44</f>
        <v>27371</v>
      </c>
    </row>
    <row r="36" spans="1:7" ht="15" thickBot="1">
      <c r="B36" s="15" t="str">
        <f>'Balance Sheet '!B45</f>
        <v>Deferred Tax Assets [Net]</v>
      </c>
      <c r="C36" s="16">
        <f>'Balance Sheet '!C45</f>
        <v>955</v>
      </c>
      <c r="D36" s="16">
        <f>'Balance Sheet '!D45</f>
        <v>970</v>
      </c>
      <c r="E36" s="16">
        <f>'Balance Sheet '!E45</f>
        <v>779</v>
      </c>
      <c r="F36" s="16">
        <f>'Balance Sheet '!F45</f>
        <v>0</v>
      </c>
      <c r="G36" s="16">
        <f>'Balance Sheet '!G45</f>
        <v>497</v>
      </c>
    </row>
    <row r="37" spans="1:7" ht="15" thickBot="1">
      <c r="B37" s="15" t="str">
        <f>'Balance Sheet '!B46</f>
        <v>Long Term Loans And Advances</v>
      </c>
      <c r="C37" s="16">
        <f>'Balance Sheet '!C46</f>
        <v>30</v>
      </c>
      <c r="D37" s="16">
        <f>'Balance Sheet '!D46</f>
        <v>34</v>
      </c>
      <c r="E37" s="16">
        <f>'Balance Sheet '!E46</f>
        <v>39</v>
      </c>
      <c r="F37" s="16">
        <f>'Balance Sheet '!F46</f>
        <v>34</v>
      </c>
      <c r="G37" s="16">
        <f>'Balance Sheet '!G46</f>
        <v>26</v>
      </c>
    </row>
    <row r="38" spans="1:7" ht="15" thickBot="1">
      <c r="B38" s="15" t="str">
        <f>'Balance Sheet '!B47</f>
        <v>Other Non-Current Assets</v>
      </c>
      <c r="C38" s="16">
        <f>'Balance Sheet '!C47</f>
        <v>7049</v>
      </c>
      <c r="D38" s="16">
        <f>'Balance Sheet '!D47</f>
        <v>7728</v>
      </c>
      <c r="E38" s="16">
        <f>'Balance Sheet '!E47</f>
        <v>9045</v>
      </c>
      <c r="F38" s="16">
        <f>'Balance Sheet '!F47</f>
        <v>6008</v>
      </c>
      <c r="G38" s="16">
        <f>'Balance Sheet '!G47</f>
        <v>5737</v>
      </c>
    </row>
    <row r="39" spans="1:7" ht="15" thickBot="1">
      <c r="B39" s="18" t="s">
        <v>210</v>
      </c>
      <c r="C39" s="52">
        <f>SUM(C31:C38)</f>
        <v>61162</v>
      </c>
      <c r="D39" s="52">
        <f t="shared" ref="D39:G39" si="4">SUM(D31:D38)</f>
        <v>62299</v>
      </c>
      <c r="E39" s="52">
        <f t="shared" si="4"/>
        <v>64961</v>
      </c>
      <c r="F39" s="52">
        <f t="shared" si="4"/>
        <v>58602</v>
      </c>
      <c r="G39" s="52">
        <f t="shared" si="4"/>
        <v>61905</v>
      </c>
    </row>
    <row r="40" spans="1:7" ht="15" thickBot="1">
      <c r="B40" s="15" t="str">
        <f>'Profit &amp; Loss Statement '!B29</f>
        <v>Depreciation And Amortisation Expenses</v>
      </c>
      <c r="C40" s="16">
        <f>-'Profit &amp; Loss Statement '!C29</f>
        <v>-2321</v>
      </c>
      <c r="D40" s="16">
        <f>-'Profit &amp; Loss Statement '!D29</f>
        <v>-2429</v>
      </c>
      <c r="E40" s="16">
        <f>-'Profit &amp; Loss Statement '!E29</f>
        <v>-2753</v>
      </c>
      <c r="F40" s="16">
        <f>-'Profit &amp; Loss Statement '!F29</f>
        <v>-2944</v>
      </c>
      <c r="G40" s="16">
        <f>-'Profit &amp; Loss Statement '!G29</f>
        <v>-2619</v>
      </c>
    </row>
    <row r="41" spans="1:7" ht="15" thickBot="1">
      <c r="A41" t="s">
        <v>207</v>
      </c>
      <c r="B41" s="18" t="s">
        <v>211</v>
      </c>
      <c r="C41" s="52">
        <f>SUM(C39:C40)</f>
        <v>58841</v>
      </c>
      <c r="D41" s="52">
        <f t="shared" ref="D41:G41" si="5">SUM(D39:D40)</f>
        <v>59870</v>
      </c>
      <c r="E41" s="52">
        <f t="shared" si="5"/>
        <v>62208</v>
      </c>
      <c r="F41" s="52">
        <f t="shared" si="5"/>
        <v>55658</v>
      </c>
      <c r="G41" s="52">
        <f t="shared" si="5"/>
        <v>59286</v>
      </c>
    </row>
    <row r="42" spans="1:7" ht="15" thickBot="1">
      <c r="B42" s="15"/>
      <c r="C42" s="15"/>
      <c r="D42" s="15"/>
      <c r="E42" s="15"/>
      <c r="F42" s="15"/>
      <c r="G42" s="15"/>
    </row>
    <row r="43" spans="1:7" ht="15" thickBot="1">
      <c r="A43" s="11" t="s">
        <v>207</v>
      </c>
      <c r="B43" s="53" t="s">
        <v>212</v>
      </c>
      <c r="C43" s="54">
        <f>SUM(C41+C28)</f>
        <v>69852</v>
      </c>
      <c r="D43" s="54">
        <f t="shared" ref="D43:G43" si="6">SUM(D41+D28)</f>
        <v>69594</v>
      </c>
      <c r="E43" s="54">
        <f t="shared" si="6"/>
        <v>75838</v>
      </c>
      <c r="F43" s="54">
        <f t="shared" si="6"/>
        <v>80026</v>
      </c>
      <c r="G43" s="54">
        <f t="shared" si="6"/>
        <v>79280</v>
      </c>
    </row>
    <row r="44" spans="1:7" ht="15" thickBot="1">
      <c r="A44" s="11"/>
      <c r="B44" s="53" t="s">
        <v>214</v>
      </c>
      <c r="C44" s="54">
        <f>'Income Statement '!C32</f>
        <v>24603</v>
      </c>
      <c r="D44" s="54">
        <f>'Income Statement '!D32</f>
        <v>28623</v>
      </c>
      <c r="E44" s="54">
        <f>'Income Statement '!E32</f>
        <v>31800</v>
      </c>
      <c r="F44" s="54">
        <f>'Income Statement '!F32</f>
        <v>36230</v>
      </c>
      <c r="G44" s="54">
        <f>'Income Statement '!G32</f>
        <v>35662</v>
      </c>
    </row>
    <row r="45" spans="1:7" ht="15" thickBot="1">
      <c r="A45" s="11"/>
      <c r="B45" s="53"/>
      <c r="C45" s="54"/>
      <c r="D45" s="54"/>
      <c r="E45" s="54"/>
      <c r="F45" s="54"/>
      <c r="G45" s="54"/>
    </row>
    <row r="46" spans="1:7" ht="15" thickBot="1">
      <c r="B46" s="18" t="s">
        <v>213</v>
      </c>
      <c r="C46" s="55">
        <f>C43/C44 %</f>
        <v>283.91659553712964</v>
      </c>
      <c r="D46" s="55">
        <f t="shared" ref="D46:G46" si="7">D43/D44 %</f>
        <v>243.14013206162875</v>
      </c>
      <c r="E46" s="55">
        <f t="shared" si="7"/>
        <v>238.48427672955975</v>
      </c>
      <c r="F46" s="55">
        <f t="shared" si="7"/>
        <v>220.88324592878828</v>
      </c>
      <c r="G46" s="55">
        <f t="shared" si="7"/>
        <v>222.30946105097863</v>
      </c>
    </row>
    <row r="47" spans="1:7" ht="15" thickBot="1">
      <c r="B47" s="15"/>
      <c r="C47" s="15"/>
      <c r="D47" s="15"/>
      <c r="E47" s="15"/>
      <c r="F47" s="15"/>
      <c r="G47" s="15"/>
    </row>
    <row r="48" spans="1:7" ht="15" thickBot="1">
      <c r="B48" s="25" t="s">
        <v>215</v>
      </c>
      <c r="C48" s="25"/>
      <c r="D48" s="25"/>
      <c r="E48" s="25"/>
      <c r="F48" s="25"/>
      <c r="G48" s="25"/>
    </row>
    <row r="49" spans="1:7" ht="15" thickBot="1">
      <c r="B49" s="23" t="s">
        <v>66</v>
      </c>
      <c r="C49" s="23">
        <v>2021</v>
      </c>
      <c r="D49" s="23">
        <f>C49+1</f>
        <v>2022</v>
      </c>
      <c r="E49" s="23">
        <f t="shared" ref="E49:G49" si="8">D49+1</f>
        <v>2023</v>
      </c>
      <c r="F49" s="23">
        <f t="shared" si="8"/>
        <v>2024</v>
      </c>
      <c r="G49" s="23">
        <f t="shared" si="8"/>
        <v>2025</v>
      </c>
    </row>
    <row r="50" spans="1:7" ht="15" thickBot="1">
      <c r="B50" s="15" t="s">
        <v>216</v>
      </c>
      <c r="C50" s="17">
        <f>-SUM('Profit &amp; Loss Statement '!C72:C73)</f>
        <v>2107</v>
      </c>
      <c r="D50" s="17">
        <f>-SUM('Profit &amp; Loss Statement '!D72:D73)</f>
        <v>2161</v>
      </c>
      <c r="E50" s="17">
        <f>-SUM('Profit &amp; Loss Statement '!E72:E73)</f>
        <v>2579</v>
      </c>
      <c r="F50" s="17">
        <f>-SUM('Profit &amp; Loss Statement '!F72:F73)</f>
        <v>2201</v>
      </c>
      <c r="G50" s="17">
        <f>-SUM('Profit &amp; Loss Statement '!G72:G73)</f>
        <v>2237</v>
      </c>
    </row>
    <row r="51" spans="1:7" ht="15" thickBot="1">
      <c r="B51" s="15" t="s">
        <v>218</v>
      </c>
      <c r="C51" s="16"/>
      <c r="D51" s="16">
        <f>D28-C28</f>
        <v>-1287</v>
      </c>
      <c r="E51" s="16">
        <f t="shared" ref="E51:G51" si="9">E28-D28</f>
        <v>3906</v>
      </c>
      <c r="F51" s="16">
        <f t="shared" si="9"/>
        <v>10738</v>
      </c>
      <c r="G51" s="16">
        <f t="shared" si="9"/>
        <v>-4374</v>
      </c>
    </row>
    <row r="52" spans="1:7" ht="15" thickBot="1">
      <c r="B52" s="15"/>
      <c r="C52" s="15"/>
      <c r="D52" s="15"/>
      <c r="E52" s="15"/>
      <c r="F52" s="15"/>
      <c r="G52" s="15"/>
    </row>
    <row r="53" spans="1:7" ht="15" thickBot="1">
      <c r="B53" s="15" t="s">
        <v>219</v>
      </c>
      <c r="C53" s="16">
        <f>'Income Statement '!C32</f>
        <v>24603</v>
      </c>
      <c r="D53" s="16">
        <f>'Income Statement '!D32</f>
        <v>28623</v>
      </c>
      <c r="E53" s="16">
        <f>'Income Statement '!E32</f>
        <v>31800</v>
      </c>
      <c r="F53" s="16">
        <f>'Income Statement '!F32</f>
        <v>36230</v>
      </c>
      <c r="G53" s="16">
        <f>'Income Statement '!G32</f>
        <v>35662</v>
      </c>
    </row>
    <row r="54" spans="1:7" ht="15" thickBot="1">
      <c r="B54" s="15" t="s">
        <v>220</v>
      </c>
      <c r="C54" s="56">
        <v>0.25169999999999998</v>
      </c>
      <c r="D54" s="56">
        <v>0.25169999999999998</v>
      </c>
      <c r="E54" s="56">
        <v>0.25169999999999998</v>
      </c>
      <c r="F54" s="56">
        <v>0.25169999999999998</v>
      </c>
      <c r="G54" s="56">
        <v>0.25169999999999998</v>
      </c>
    </row>
    <row r="55" spans="1:7" ht="15" thickBot="1">
      <c r="B55" s="15" t="s">
        <v>221</v>
      </c>
      <c r="C55" s="15">
        <f>C53*(1-C54)</f>
        <v>18410.424899999998</v>
      </c>
      <c r="D55" s="15">
        <f t="shared" ref="D55:G55" si="10">D53*(1-D54)</f>
        <v>21418.590899999999</v>
      </c>
      <c r="E55" s="15">
        <f t="shared" si="10"/>
        <v>23795.94</v>
      </c>
      <c r="F55" s="15">
        <f t="shared" si="10"/>
        <v>27110.909</v>
      </c>
      <c r="G55" s="15">
        <f t="shared" si="10"/>
        <v>26685.874599999999</v>
      </c>
    </row>
    <row r="56" spans="1:7" ht="15" thickBot="1">
      <c r="B56" s="15"/>
      <c r="C56" s="15"/>
      <c r="D56" s="15"/>
      <c r="E56" s="15"/>
      <c r="F56" s="15"/>
      <c r="G56" s="15"/>
    </row>
    <row r="57" spans="1:7" ht="15" thickBot="1">
      <c r="B57" s="15" t="s">
        <v>222</v>
      </c>
      <c r="C57" s="17">
        <f>SUM(C50:C51)</f>
        <v>2107</v>
      </c>
      <c r="D57" s="17">
        <f t="shared" ref="D57:G57" si="11">SUM(D50:D51)</f>
        <v>874</v>
      </c>
      <c r="E57" s="17">
        <f t="shared" si="11"/>
        <v>6485</v>
      </c>
      <c r="F57" s="17">
        <f t="shared" si="11"/>
        <v>12939</v>
      </c>
      <c r="G57" s="17">
        <f t="shared" si="11"/>
        <v>-2137</v>
      </c>
    </row>
    <row r="58" spans="1:7" ht="15" thickBot="1">
      <c r="A58" t="s">
        <v>207</v>
      </c>
      <c r="B58" s="18" t="s">
        <v>223</v>
      </c>
      <c r="C58" s="57">
        <f>C57/C55</f>
        <v>0.11444602780460543</v>
      </c>
      <c r="D58" s="57">
        <f t="shared" ref="D58:G58" si="12">D57/D55</f>
        <v>4.080567223495548E-2</v>
      </c>
      <c r="E58" s="57">
        <f t="shared" si="12"/>
        <v>0.27252548123755566</v>
      </c>
      <c r="F58" s="57">
        <f t="shared" si="12"/>
        <v>0.47726175466857274</v>
      </c>
      <c r="G58" s="57">
        <f t="shared" si="12"/>
        <v>-8.0079818706785058E-2</v>
      </c>
    </row>
    <row r="59" spans="1:7" ht="15" thickBot="1"/>
    <row r="60" spans="1:7" ht="15" thickBot="1">
      <c r="B60" s="23" t="s">
        <v>224</v>
      </c>
      <c r="C60" s="58">
        <f>AVERAGE(C58:G58)</f>
        <v>0.16499182344778085</v>
      </c>
    </row>
    <row r="61" spans="1:7" ht="15" thickBot="1">
      <c r="B61" s="23" t="s">
        <v>225</v>
      </c>
      <c r="C61" s="58">
        <f>MEDIAN(C58:G58)</f>
        <v>0.11444602780460543</v>
      </c>
    </row>
    <row r="64" spans="1:7">
      <c r="B64" s="13" t="s">
        <v>226</v>
      </c>
      <c r="C64" s="13"/>
      <c r="D64" s="13"/>
      <c r="E64" s="13"/>
      <c r="F64" s="13"/>
      <c r="G64" s="13"/>
    </row>
    <row r="66" spans="1:7">
      <c r="B66" s="4" t="s">
        <v>217</v>
      </c>
      <c r="C66" s="4">
        <v>2021</v>
      </c>
      <c r="D66" s="4">
        <f>C66+1</f>
        <v>2022</v>
      </c>
      <c r="E66" s="4">
        <f t="shared" ref="E66:G66" si="13">D66+1</f>
        <v>2023</v>
      </c>
      <c r="F66" s="4">
        <f t="shared" si="13"/>
        <v>2024</v>
      </c>
      <c r="G66" s="4">
        <f t="shared" si="13"/>
        <v>2025</v>
      </c>
    </row>
    <row r="67" spans="1:7" ht="15" thickBot="1"/>
    <row r="68" spans="1:7" ht="15" thickBot="1">
      <c r="B68" s="15" t="s">
        <v>227</v>
      </c>
      <c r="C68" s="42">
        <f>C58</f>
        <v>0.11444602780460543</v>
      </c>
      <c r="D68" s="42">
        <f t="shared" ref="D68:G68" si="14">D58</f>
        <v>4.080567223495548E-2</v>
      </c>
      <c r="E68" s="42">
        <f t="shared" si="14"/>
        <v>0.27252548123755566</v>
      </c>
      <c r="F68" s="42">
        <f t="shared" si="14"/>
        <v>0.47726175466857274</v>
      </c>
      <c r="G68" s="42">
        <f t="shared" si="14"/>
        <v>-8.0079818706785058E-2</v>
      </c>
    </row>
    <row r="69" spans="1:7" ht="15" thickBot="1">
      <c r="B69" s="15" t="s">
        <v>213</v>
      </c>
      <c r="C69" s="39">
        <f>C46</f>
        <v>283.91659553712964</v>
      </c>
      <c r="D69" s="39">
        <f t="shared" ref="D69:G69" si="15">D46</f>
        <v>243.14013206162875</v>
      </c>
      <c r="E69" s="39">
        <f t="shared" si="15"/>
        <v>238.48427672955975</v>
      </c>
      <c r="F69" s="39">
        <f t="shared" si="15"/>
        <v>220.88324592878828</v>
      </c>
      <c r="G69" s="39">
        <f t="shared" si="15"/>
        <v>222.30946105097863</v>
      </c>
    </row>
    <row r="70" spans="1:7" ht="15" thickBot="1">
      <c r="B70" s="15"/>
      <c r="C70" s="15"/>
      <c r="D70" s="15"/>
      <c r="E70" s="15"/>
      <c r="F70" s="15"/>
      <c r="G70" s="15"/>
    </row>
    <row r="71" spans="1:7" ht="15" thickBot="1">
      <c r="A71" t="s">
        <v>207</v>
      </c>
      <c r="B71" s="23" t="s">
        <v>228</v>
      </c>
      <c r="C71" s="23">
        <f>C68*C69</f>
        <v>32.493126587031256</v>
      </c>
      <c r="D71" s="23">
        <f t="shared" ref="D71:G71" si="16">D68*D69</f>
        <v>9.9214965360706131</v>
      </c>
      <c r="E71" s="23">
        <f t="shared" si="16"/>
        <v>64.99304228331367</v>
      </c>
      <c r="F71" s="23">
        <f t="shared" si="16"/>
        <v>105.41912552886338</v>
      </c>
      <c r="G71" s="23">
        <f t="shared" si="16"/>
        <v>-17.802501337765463</v>
      </c>
    </row>
    <row r="73" spans="1:7" ht="15" thickBot="1"/>
    <row r="74" spans="1:7" ht="15" thickBot="1">
      <c r="B74" s="23" t="s">
        <v>224</v>
      </c>
      <c r="C74" s="23">
        <f>AVERAGE(C71:G71)</f>
        <v>39.004857919502683</v>
      </c>
    </row>
    <row r="75" spans="1:7" ht="15" thickBot="1">
      <c r="B75" s="23" t="s">
        <v>225</v>
      </c>
      <c r="C75" s="23">
        <f>MEDIAN(C71:G71)</f>
        <v>32.493126587031256</v>
      </c>
    </row>
  </sheetData>
  <mergeCells count="4">
    <mergeCell ref="B11:G11"/>
    <mergeCell ref="B48:G48"/>
    <mergeCell ref="B64:G64"/>
    <mergeCell ref="B10:G10"/>
  </mergeCells>
  <pageMargins left="0.7" right="0.7" top="0.75" bottom="0.75" header="0.3" footer="0.3"/>
  <pageSetup paperSize="9" orientation="portrait" r:id="rId1"/>
  <ignoredErrors>
    <ignoredError sqref="C50:G5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</sheetPr>
  <dimension ref="B10:H56"/>
  <sheetViews>
    <sheetView showGridLines="0" tabSelected="1" workbookViewId="0">
      <selection activeCell="K15" sqref="K15"/>
    </sheetView>
  </sheetViews>
  <sheetFormatPr defaultRowHeight="14.5"/>
  <cols>
    <col min="1" max="1" width="1.81640625" customWidth="1"/>
    <col min="2" max="2" width="31.1796875" bestFit="1" customWidth="1"/>
    <col min="3" max="3" width="28.7265625" bestFit="1" customWidth="1"/>
    <col min="4" max="4" width="8.81640625" bestFit="1" customWidth="1"/>
    <col min="6" max="6" width="13.36328125" bestFit="1" customWidth="1"/>
    <col min="9" max="9" width="16.90625" customWidth="1"/>
  </cols>
  <sheetData>
    <row r="10" spans="2:8" ht="26" thickBot="1">
      <c r="B10" s="30" t="s">
        <v>280</v>
      </c>
      <c r="C10" s="30"/>
      <c r="D10" s="30"/>
      <c r="E10" s="30"/>
      <c r="F10" s="30"/>
      <c r="G10" s="30"/>
      <c r="H10" s="30"/>
    </row>
    <row r="11" spans="2:8" ht="15" thickBot="1">
      <c r="B11" s="23" t="s">
        <v>229</v>
      </c>
      <c r="C11" s="59">
        <v>2025</v>
      </c>
      <c r="D11" s="60">
        <f>C11+1</f>
        <v>2026</v>
      </c>
      <c r="E11" s="60">
        <f t="shared" ref="E11:H11" si="0">D11+1</f>
        <v>2027</v>
      </c>
      <c r="F11" s="60">
        <f t="shared" si="0"/>
        <v>2028</v>
      </c>
      <c r="G11" s="60">
        <f t="shared" si="0"/>
        <v>2029</v>
      </c>
      <c r="H11" s="60">
        <f t="shared" si="0"/>
        <v>2030</v>
      </c>
    </row>
    <row r="12" spans="2:8" ht="15" thickBot="1">
      <c r="B12" s="15"/>
      <c r="C12" s="61"/>
      <c r="D12" s="15"/>
      <c r="E12" s="15"/>
      <c r="F12" s="15"/>
      <c r="G12" s="15"/>
      <c r="H12" s="15"/>
    </row>
    <row r="13" spans="2:8" ht="15" thickBot="1">
      <c r="B13" s="15" t="s">
        <v>219</v>
      </c>
      <c r="C13" s="62">
        <f>'Income Statement '!C32</f>
        <v>24603</v>
      </c>
      <c r="D13" s="16">
        <f>C13*(1-$C$27)</f>
        <v>16608.715226099997</v>
      </c>
      <c r="E13" s="16">
        <f t="shared" ref="E13:H13" si="1">D13*(1-$C$27)</f>
        <v>11212.023796353531</v>
      </c>
      <c r="F13" s="16">
        <f>E13*(1-$C$27)</f>
        <v>7568.8863285734424</v>
      </c>
      <c r="G13" s="16">
        <f t="shared" si="1"/>
        <v>5109.5182542778466</v>
      </c>
      <c r="H13" s="16">
        <f t="shared" si="1"/>
        <v>3449.2758455416151</v>
      </c>
    </row>
    <row r="14" spans="2:8" ht="15" thickBot="1">
      <c r="B14" s="15"/>
      <c r="C14" s="61"/>
      <c r="D14" s="15"/>
      <c r="E14" s="15"/>
      <c r="F14" s="15"/>
      <c r="G14" s="15"/>
      <c r="H14" s="15"/>
    </row>
    <row r="15" spans="2:8" ht="15" thickBot="1">
      <c r="B15" s="15" t="s">
        <v>230</v>
      </c>
      <c r="C15" s="63">
        <f>'Intrinsic Growth '!C54</f>
        <v>0.25169999999999998</v>
      </c>
      <c r="D15" s="41">
        <f>'Intrinsic Growth '!D54</f>
        <v>0.25169999999999998</v>
      </c>
      <c r="E15" s="41">
        <f>'Intrinsic Growth '!E54</f>
        <v>0.25169999999999998</v>
      </c>
      <c r="F15" s="41">
        <f>'Intrinsic Growth '!F54</f>
        <v>0.25169999999999998</v>
      </c>
      <c r="G15" s="41">
        <f>'Intrinsic Growth '!G54</f>
        <v>0.25169999999999998</v>
      </c>
      <c r="H15" s="41">
        <v>0.25169999999999998</v>
      </c>
    </row>
    <row r="16" spans="2:8" ht="15" thickBot="1">
      <c r="B16" s="15"/>
      <c r="C16" s="61"/>
      <c r="D16" s="15"/>
      <c r="E16" s="15"/>
      <c r="F16" s="15"/>
      <c r="G16" s="15"/>
      <c r="H16" s="15"/>
    </row>
    <row r="17" spans="2:8" ht="15" thickBot="1">
      <c r="B17" s="15" t="s">
        <v>231</v>
      </c>
      <c r="C17" s="62">
        <f>C13*(1-C15)</f>
        <v>18410.424899999998</v>
      </c>
      <c r="D17" s="16">
        <f>D13*(1-D15)</f>
        <v>12428.301603690628</v>
      </c>
      <c r="E17" s="16">
        <f>E13*(1-E15)</f>
        <v>8389.957406811347</v>
      </c>
      <c r="F17" s="16">
        <f t="shared" ref="F17:H17" si="2">F13*(1-F15)</f>
        <v>5663.7976396715067</v>
      </c>
      <c r="G17" s="16">
        <f t="shared" si="2"/>
        <v>3823.4525096761126</v>
      </c>
      <c r="H17" s="16">
        <f t="shared" si="2"/>
        <v>2581.0931152187904</v>
      </c>
    </row>
    <row r="18" spans="2:8" ht="15" thickBot="1">
      <c r="B18" s="15"/>
      <c r="C18" s="61"/>
      <c r="D18" s="15"/>
      <c r="E18" s="15"/>
      <c r="F18" s="15"/>
      <c r="G18" s="15"/>
      <c r="H18" s="15"/>
    </row>
    <row r="19" spans="2:8" ht="15" thickBot="1">
      <c r="B19" s="15" t="s">
        <v>232</v>
      </c>
      <c r="C19" s="63">
        <v>0.5806</v>
      </c>
      <c r="D19" s="41">
        <v>0.5806</v>
      </c>
      <c r="E19" s="41">
        <v>0.5806</v>
      </c>
      <c r="F19" s="41">
        <v>0.5806</v>
      </c>
      <c r="G19" s="41">
        <v>0.5806</v>
      </c>
      <c r="H19" s="41">
        <v>0.5806</v>
      </c>
    </row>
    <row r="20" spans="2:8" ht="15" thickBot="1">
      <c r="B20" s="15"/>
      <c r="C20" s="61"/>
      <c r="D20" s="15"/>
      <c r="E20" s="15"/>
      <c r="F20" s="15"/>
      <c r="G20" s="15"/>
      <c r="H20" s="15"/>
    </row>
    <row r="21" spans="2:8" ht="15" thickBot="1">
      <c r="B21" s="18" t="s">
        <v>233</v>
      </c>
      <c r="C21" s="23">
        <f>C17*(1-C19)</f>
        <v>7721.3322030599993</v>
      </c>
      <c r="D21" s="23">
        <f t="shared" ref="D21:H21" si="3">D17*(1-D19)</f>
        <v>5212.4296925878498</v>
      </c>
      <c r="E21" s="23">
        <f t="shared" si="3"/>
        <v>3518.7481364166788</v>
      </c>
      <c r="F21" s="23">
        <f t="shared" si="3"/>
        <v>2375.3967300782297</v>
      </c>
      <c r="G21" s="23">
        <f t="shared" si="3"/>
        <v>1603.5559825581615</v>
      </c>
      <c r="H21" s="23">
        <f t="shared" si="3"/>
        <v>1082.5104525227607</v>
      </c>
    </row>
    <row r="22" spans="2:8" ht="15" thickBot="1">
      <c r="B22" s="15" t="s">
        <v>234</v>
      </c>
      <c r="C22" s="61">
        <v>0.5</v>
      </c>
      <c r="D22" s="15">
        <f>C22+1</f>
        <v>1.5</v>
      </c>
      <c r="E22" s="15">
        <f t="shared" ref="E22:H22" si="4">D22+1</f>
        <v>2.5</v>
      </c>
      <c r="F22" s="15">
        <f t="shared" si="4"/>
        <v>3.5</v>
      </c>
      <c r="G22" s="15">
        <f t="shared" si="4"/>
        <v>4.5</v>
      </c>
      <c r="H22" s="15">
        <f t="shared" si="4"/>
        <v>5.5</v>
      </c>
    </row>
    <row r="23" spans="2:8" ht="15" thickBot="1">
      <c r="B23" s="15" t="s">
        <v>235</v>
      </c>
      <c r="C23" s="61"/>
      <c r="D23" s="15"/>
      <c r="E23" s="15"/>
      <c r="F23" s="15"/>
      <c r="G23" s="15"/>
      <c r="H23" s="15"/>
    </row>
    <row r="25" spans="2:8">
      <c r="B25" s="64" t="s">
        <v>236</v>
      </c>
      <c r="C25" s="64"/>
    </row>
    <row r="26" spans="2:8" ht="15" thickBot="1"/>
    <row r="27" spans="2:8" ht="15" thickBot="1">
      <c r="B27" s="23" t="s">
        <v>237</v>
      </c>
      <c r="C27" s="43">
        <v>0.32493129999999998</v>
      </c>
    </row>
    <row r="28" spans="2:8" ht="15" thickBot="1">
      <c r="B28" s="23" t="s">
        <v>238</v>
      </c>
      <c r="C28" s="43">
        <v>5.5E-2</v>
      </c>
    </row>
    <row r="29" spans="2:8" ht="15" thickBot="1">
      <c r="B29" s="23" t="s">
        <v>239</v>
      </c>
      <c r="C29" s="65">
        <v>7.871E-4</v>
      </c>
    </row>
    <row r="32" spans="2:8">
      <c r="B32" s="13" t="s">
        <v>229</v>
      </c>
      <c r="C32" s="13"/>
    </row>
    <row r="33" spans="2:3" ht="15" thickBot="1"/>
    <row r="34" spans="2:3" ht="15" thickBot="1">
      <c r="B34" s="15" t="s">
        <v>240</v>
      </c>
      <c r="C34" s="15">
        <f>H21*(1+C27)</f>
        <v>1434.2519811245697</v>
      </c>
    </row>
    <row r="35" spans="2:3" ht="15" thickBot="1">
      <c r="B35" s="15" t="s">
        <v>241</v>
      </c>
      <c r="C35" s="66">
        <f>C29</f>
        <v>7.871E-4</v>
      </c>
    </row>
    <row r="36" spans="2:3" ht="15" thickBot="1">
      <c r="B36" s="15" t="s">
        <v>242</v>
      </c>
      <c r="C36" s="41">
        <f>C28</f>
        <v>5.5E-2</v>
      </c>
    </row>
    <row r="38" spans="2:3" ht="15" thickBot="1">
      <c r="B38" s="12" t="s">
        <v>243</v>
      </c>
      <c r="C38" s="4">
        <f>C34/(C35-C36)</f>
        <v>-26455.916970399474</v>
      </c>
    </row>
    <row r="39" spans="2:3" ht="15" thickTop="1"/>
    <row r="41" spans="2:3">
      <c r="B41" s="13" t="s">
        <v>244</v>
      </c>
      <c r="C41" s="13"/>
    </row>
    <row r="42" spans="2:3" ht="15" thickBot="1"/>
    <row r="43" spans="2:3" ht="15" thickBot="1">
      <c r="B43" s="15" t="s">
        <v>245</v>
      </c>
      <c r="C43" s="15">
        <f>SUM(C21:H21)</f>
        <v>21513.973197223684</v>
      </c>
    </row>
    <row r="44" spans="2:3" ht="15" thickBot="1">
      <c r="B44" s="15" t="s">
        <v>246</v>
      </c>
      <c r="C44" s="15">
        <f>1/(1+$C$29)^D22</f>
        <v>0.99882051054627352</v>
      </c>
    </row>
    <row r="45" spans="2:3" ht="15" thickBot="1">
      <c r="B45" s="53" t="s">
        <v>247</v>
      </c>
      <c r="C45" s="67">
        <f>SUM(C43:C44)</f>
        <v>21514.972017734231</v>
      </c>
    </row>
    <row r="46" spans="2:3" ht="15" thickBot="1">
      <c r="B46" s="15"/>
      <c r="C46" s="15"/>
    </row>
    <row r="47" spans="2:3" ht="15" thickBot="1">
      <c r="B47" s="15" t="s">
        <v>248</v>
      </c>
      <c r="C47" s="16">
        <f>'Balance Sheet '!C54</f>
        <v>17612</v>
      </c>
    </row>
    <row r="48" spans="2:3" ht="15" thickBot="1">
      <c r="B48" s="15" t="s">
        <v>249</v>
      </c>
      <c r="C48" s="15">
        <f>SUM('Balance Sheet '!C23,'Balance Sheet '!C30)</f>
        <v>0</v>
      </c>
    </row>
    <row r="49" spans="2:6" ht="15" thickBot="1">
      <c r="B49" s="15"/>
      <c r="C49" s="15"/>
    </row>
    <row r="50" spans="2:6" ht="15" thickBot="1">
      <c r="B50" s="68" t="s">
        <v>250</v>
      </c>
      <c r="C50" s="16">
        <f>C45+C47-C48</f>
        <v>39126.972017734231</v>
      </c>
    </row>
    <row r="51" spans="2:6" ht="15" thickBot="1">
      <c r="B51" s="68" t="s">
        <v>251</v>
      </c>
      <c r="C51" s="17">
        <v>4153263455</v>
      </c>
    </row>
    <row r="52" spans="2:6" ht="15" thickBot="1">
      <c r="B52" s="68"/>
      <c r="C52" s="15"/>
    </row>
    <row r="53" spans="2:6" ht="15" thickBot="1">
      <c r="B53" s="23" t="s">
        <v>252</v>
      </c>
      <c r="C53" s="69">
        <f>C50/C51</f>
        <v>9.4207777670906825E-6</v>
      </c>
    </row>
    <row r="54" spans="2:6" ht="15" thickBot="1">
      <c r="B54" s="15"/>
      <c r="C54" s="15"/>
    </row>
    <row r="55" spans="2:6" ht="15" thickBot="1">
      <c r="B55" s="68" t="s">
        <v>253</v>
      </c>
      <c r="C55" s="15">
        <v>1586</v>
      </c>
      <c r="F55" s="7"/>
    </row>
    <row r="56" spans="2:6" ht="15" thickBot="1">
      <c r="B56" s="18" t="s">
        <v>254</v>
      </c>
      <c r="C56" s="70">
        <f>C55/C53-1</f>
        <v>168351279.45800272</v>
      </c>
    </row>
  </sheetData>
  <mergeCells count="4">
    <mergeCell ref="B10:H10"/>
    <mergeCell ref="B25:C25"/>
    <mergeCell ref="B32:C32"/>
    <mergeCell ref="B41:C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Profit &amp; Loss Statement </vt:lpstr>
      <vt:lpstr>Income Statement </vt:lpstr>
      <vt:lpstr>Balance Sheet </vt:lpstr>
      <vt:lpstr>Ratio Analysis</vt:lpstr>
      <vt:lpstr>Weight Average Cost of Capital</vt:lpstr>
      <vt:lpstr>Intrinsic Growth </vt:lpstr>
      <vt:lpstr>DCF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2025-07-20T19:33:53Z</cp:lastPrinted>
  <dcterms:created xsi:type="dcterms:W3CDTF">2025-07-20T05:35:45Z</dcterms:created>
  <dcterms:modified xsi:type="dcterms:W3CDTF">2025-07-20T19:34:12Z</dcterms:modified>
</cp:coreProperties>
</file>