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39. Intertek Saudi Aramco\02. Estimation\"/>
    </mc:Choice>
  </mc:AlternateContent>
  <bookViews>
    <workbookView xWindow="0" yWindow="0" windowWidth="14040" windowHeight="6960" tabRatio="1000"/>
  </bookViews>
  <sheets>
    <sheet name="Estimation Sheet_" sheetId="15" r:id="rId1"/>
    <sheet name="Summary " sheetId="1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6" l="1"/>
  <c r="H5" i="16"/>
  <c r="G5" i="16"/>
  <c r="F5" i="16"/>
  <c r="E5" i="16"/>
  <c r="D5" i="16"/>
  <c r="C5" i="16"/>
  <c r="L26" i="15" l="1"/>
  <c r="L27" i="15" s="1"/>
  <c r="L28" i="15" s="1"/>
  <c r="L29" i="15" s="1"/>
  <c r="L23" i="15"/>
  <c r="L22" i="15"/>
  <c r="L21" i="15"/>
  <c r="H5" i="15"/>
  <c r="J27" i="15"/>
  <c r="G6" i="16" l="1"/>
  <c r="G7" i="16"/>
  <c r="G8" i="16"/>
  <c r="G9" i="16"/>
  <c r="G4" i="16"/>
  <c r="F6" i="16"/>
  <c r="F7" i="16"/>
  <c r="F8" i="16"/>
  <c r="F9" i="16"/>
  <c r="E6" i="16"/>
  <c r="E7" i="16"/>
  <c r="E8" i="16"/>
  <c r="E9" i="16"/>
  <c r="D6" i="16"/>
  <c r="D7" i="16"/>
  <c r="D8" i="16"/>
  <c r="D9" i="16"/>
  <c r="C6" i="16"/>
  <c r="C7" i="16"/>
  <c r="C8" i="16"/>
  <c r="C9" i="16"/>
  <c r="C4" i="16"/>
  <c r="R9" i="15"/>
  <c r="R8" i="15"/>
  <c r="R7" i="15"/>
  <c r="R6" i="15"/>
  <c r="R5" i="15"/>
  <c r="Y10" i="15"/>
  <c r="P10" i="15"/>
  <c r="N10" i="15"/>
  <c r="W3" i="15"/>
  <c r="G6" i="15"/>
  <c r="G7" i="15"/>
  <c r="G8" i="15"/>
  <c r="G9" i="15"/>
  <c r="V3" i="15"/>
  <c r="V7" i="15" s="1"/>
  <c r="T3" i="15"/>
  <c r="T5" i="15" s="1"/>
  <c r="U5" i="15" s="1"/>
  <c r="D19" i="15"/>
  <c r="D20" i="15"/>
  <c r="D21" i="15"/>
  <c r="D22" i="15"/>
  <c r="D18" i="15"/>
  <c r="L2" i="15"/>
  <c r="E6" i="15"/>
  <c r="B7" i="15"/>
  <c r="E7" i="15"/>
  <c r="E8" i="15"/>
  <c r="E9" i="15"/>
  <c r="J19" i="15"/>
  <c r="J20" i="15"/>
  <c r="J21" i="15"/>
  <c r="J22" i="15"/>
  <c r="J18" i="15"/>
  <c r="G5" i="15" s="1"/>
  <c r="E19" i="15"/>
  <c r="B6" i="15" s="1"/>
  <c r="F19" i="15"/>
  <c r="C6" i="15" s="1"/>
  <c r="H19" i="15"/>
  <c r="D6" i="15" s="1"/>
  <c r="E20" i="15"/>
  <c r="F20" i="15"/>
  <c r="C7" i="15" s="1"/>
  <c r="H20" i="15"/>
  <c r="D7" i="15" s="1"/>
  <c r="I20" i="15"/>
  <c r="F7" i="15" s="1"/>
  <c r="E21" i="15"/>
  <c r="B8" i="15" s="1"/>
  <c r="F21" i="15"/>
  <c r="C8" i="15" s="1"/>
  <c r="H21" i="15"/>
  <c r="I21" i="15" s="1"/>
  <c r="F8" i="15" s="1"/>
  <c r="E22" i="15"/>
  <c r="B9" i="15" s="1"/>
  <c r="F22" i="15"/>
  <c r="C9" i="15" s="1"/>
  <c r="H22" i="15"/>
  <c r="D9" i="15" s="1"/>
  <c r="I22" i="15"/>
  <c r="F9" i="15" s="1"/>
  <c r="T6" i="15" l="1"/>
  <c r="U6" i="15" s="1"/>
  <c r="T7" i="15"/>
  <c r="U7" i="15" s="1"/>
  <c r="T8" i="15"/>
  <c r="U8" i="15" s="1"/>
  <c r="T9" i="15"/>
  <c r="U9" i="15" s="1"/>
  <c r="T12" i="15"/>
  <c r="T13" i="15" s="1"/>
  <c r="V6" i="15"/>
  <c r="W5" i="15"/>
  <c r="W9" i="15"/>
  <c r="W8" i="15"/>
  <c r="V5" i="15"/>
  <c r="F4" i="16" s="1"/>
  <c r="V9" i="15"/>
  <c r="V8" i="15"/>
  <c r="AB7" i="15"/>
  <c r="AC6" i="15"/>
  <c r="AC8" i="15"/>
  <c r="D8" i="15"/>
  <c r="I19" i="15"/>
  <c r="F6" i="15" s="1"/>
  <c r="E13" i="15"/>
  <c r="C15" i="15"/>
  <c r="H18" i="15" s="1"/>
  <c r="D5" i="15" s="1"/>
  <c r="F10" i="15"/>
  <c r="E10" i="15"/>
  <c r="D10" i="15"/>
  <c r="C10" i="15"/>
  <c r="B10" i="15"/>
  <c r="AC3" i="15"/>
  <c r="AC7" i="15" s="1"/>
  <c r="AB3" i="15"/>
  <c r="AA3" i="15"/>
  <c r="Z3" i="15"/>
  <c r="Y3" i="15"/>
  <c r="X3" i="15"/>
  <c r="P3" i="15"/>
  <c r="O3" i="15"/>
  <c r="O7" i="15" s="1"/>
  <c r="M3" i="15"/>
  <c r="L3" i="15"/>
  <c r="K3" i="15"/>
  <c r="J3" i="15"/>
  <c r="I3" i="15"/>
  <c r="H3" i="15"/>
  <c r="H8" i="16" l="1"/>
  <c r="I8" i="16" s="1"/>
  <c r="AD8" i="15"/>
  <c r="AD9" i="15"/>
  <c r="H9" i="16"/>
  <c r="I9" i="16" s="1"/>
  <c r="H4" i="16"/>
  <c r="T10" i="15"/>
  <c r="W7" i="15"/>
  <c r="W6" i="15"/>
  <c r="V10" i="15"/>
  <c r="AB9" i="15"/>
  <c r="AB6" i="15"/>
  <c r="AC9" i="15"/>
  <c r="AB8" i="15"/>
  <c r="AA6" i="15"/>
  <c r="AA8" i="15"/>
  <c r="AA7" i="15"/>
  <c r="AA5" i="15"/>
  <c r="AA10" i="15" s="1"/>
  <c r="Z5" i="15"/>
  <c r="Z6" i="15"/>
  <c r="Z7" i="15"/>
  <c r="Z8" i="15"/>
  <c r="L9" i="15"/>
  <c r="L7" i="15"/>
  <c r="L8" i="15"/>
  <c r="O6" i="15"/>
  <c r="O8" i="15"/>
  <c r="L6" i="15"/>
  <c r="O9" i="15"/>
  <c r="X7" i="15"/>
  <c r="X8" i="15"/>
  <c r="X9" i="15"/>
  <c r="X5" i="15"/>
  <c r="X6" i="15"/>
  <c r="M6" i="15"/>
  <c r="M7" i="15"/>
  <c r="M8" i="15"/>
  <c r="M9" i="15"/>
  <c r="F18" i="15"/>
  <c r="C5" i="15" s="1"/>
  <c r="AB5" i="15" s="1"/>
  <c r="E18" i="15"/>
  <c r="B5" i="15" s="1"/>
  <c r="E5" i="15"/>
  <c r="AC5" i="15" l="1"/>
  <c r="W10" i="15"/>
  <c r="H7" i="16"/>
  <c r="I7" i="16" s="1"/>
  <c r="AD7" i="15"/>
  <c r="AD6" i="15"/>
  <c r="H6" i="16"/>
  <c r="I6" i="16" s="1"/>
  <c r="AC10" i="15"/>
  <c r="Z10" i="15"/>
  <c r="AB10" i="15"/>
  <c r="X10" i="15"/>
  <c r="M5" i="15"/>
  <c r="O5" i="15"/>
  <c r="O10" i="15" s="1"/>
  <c r="L5" i="15"/>
  <c r="I18" i="15"/>
  <c r="F5" i="15" s="1"/>
  <c r="L10" i="15" l="1"/>
  <c r="D4" i="16"/>
  <c r="AD5" i="15"/>
  <c r="M10" i="15"/>
  <c r="E4" i="16"/>
  <c r="AD10" i="15"/>
  <c r="I4" i="16" l="1"/>
  <c r="I10" i="16" s="1"/>
  <c r="B1" i="15"/>
  <c r="C3" i="15" s="1"/>
  <c r="F1" i="15" l="1"/>
  <c r="H1" i="15" s="1"/>
</calcChain>
</file>

<file path=xl/sharedStrings.xml><?xml version="1.0" encoding="utf-8"?>
<sst xmlns="http://schemas.openxmlformats.org/spreadsheetml/2006/main" count="90" uniqueCount="68">
  <si>
    <t xml:space="preserve">SCOPE </t>
  </si>
  <si>
    <t>In scope</t>
  </si>
  <si>
    <t>Chevron</t>
  </si>
  <si>
    <t>**** Efforts per site except admin setup</t>
  </si>
  <si>
    <t>Time in Min</t>
  </si>
  <si>
    <t xml:space="preserve">Total Efforts Estimation </t>
  </si>
  <si>
    <t>Factors</t>
  </si>
  <si>
    <t>Sum of Sum of Total Bends, Teex, Reducers</t>
  </si>
  <si>
    <t>Total Line Numbers</t>
  </si>
  <si>
    <t>Total Line Segments</t>
  </si>
  <si>
    <t xml:space="preserve">Efforts for Volume Creation </t>
  </si>
  <si>
    <t xml:space="preserve">Efforts for Centreline  Creation </t>
  </si>
  <si>
    <t>Creation of Line List</t>
  </si>
  <si>
    <t>Efforts for 3D Markups</t>
  </si>
  <si>
    <t>Efforts for Equipment Development</t>
  </si>
  <si>
    <t xml:space="preserve">Admin Setup &amp; Proposal </t>
  </si>
  <si>
    <t xml:space="preserve">Plot Plan </t>
  </si>
  <si>
    <t xml:space="preserve">Equipment Layouts </t>
  </si>
  <si>
    <t>PFD</t>
  </si>
  <si>
    <t xml:space="preserve">Piping Isometrics </t>
  </si>
  <si>
    <t>Bulk MTO</t>
  </si>
  <si>
    <t>EquipmentTagging</t>
  </si>
  <si>
    <t>Nozzle Orientations</t>
  </si>
  <si>
    <t>Subtotal</t>
  </si>
  <si>
    <t>Total Hours</t>
  </si>
  <si>
    <t>Total Circuits</t>
  </si>
  <si>
    <t>Total line numbers</t>
  </si>
  <si>
    <t>Scale factor</t>
  </si>
  <si>
    <t>Total Number of expected P&amp;ID for Updation</t>
  </si>
  <si>
    <t>Sum of Total Equipmets</t>
  </si>
  <si>
    <t>Sum of Total Valves</t>
  </si>
  <si>
    <t xml:space="preserve">Total number of Valves </t>
  </si>
  <si>
    <t xml:space="preserve">Total Equipments  </t>
  </si>
  <si>
    <t xml:space="preserve">Bends, Teex, Reducers  </t>
  </si>
  <si>
    <t>Total Line segments</t>
  </si>
  <si>
    <t>Total ISO</t>
  </si>
  <si>
    <t>LDT_MRJN_162_169, 174_175</t>
  </si>
  <si>
    <t>LDT_MRJN_224_229, 250</t>
  </si>
  <si>
    <t>LDT_MRJN_CGI_TP</t>
  </si>
  <si>
    <t>LDT_MRJN_TP-2A</t>
  </si>
  <si>
    <t>LDT_MRJN_TP-4</t>
  </si>
  <si>
    <t xml:space="preserve">Site </t>
  </si>
  <si>
    <t xml:space="preserve">Total Instruments </t>
  </si>
  <si>
    <t xml:space="preserve">No of Instruments per line = </t>
  </si>
  <si>
    <t xml:space="preserve">Reference Site </t>
  </si>
  <si>
    <t xml:space="preserve">Total Line Count above 1" </t>
  </si>
  <si>
    <t>P&amp;ID Mark up</t>
  </si>
  <si>
    <t xml:space="preserve">Structural Modelling </t>
  </si>
  <si>
    <t xml:space="preserve">Instrumentation </t>
  </si>
  <si>
    <t>Efforts for 3d modelling (Piping with flange, bends, Flanges, Tees, Primary Supports)</t>
  </si>
  <si>
    <t xml:space="preserve">Total Estimated Instruments </t>
  </si>
  <si>
    <t xml:space="preserve">Instrumentation Modelling </t>
  </si>
  <si>
    <t xml:space="preserve"> HVAC runs Modelling </t>
  </si>
  <si>
    <t xml:space="preserve">* Included in 3D modelling </t>
  </si>
  <si>
    <t xml:space="preserve">Total Number of Decks </t>
  </si>
  <si>
    <t xml:space="preserve">Complex Factor </t>
  </si>
  <si>
    <t>Approx Area per Deck Sq Meter</t>
  </si>
  <si>
    <t>Structural Modelling Man Months</t>
  </si>
  <si>
    <t xml:space="preserve">Piping </t>
  </si>
  <si>
    <t xml:space="preserve">Structural </t>
  </si>
  <si>
    <t xml:space="preserve"> HVAC runs</t>
  </si>
  <si>
    <t xml:space="preserve">Equipment </t>
  </si>
  <si>
    <t>Admin Setup</t>
  </si>
  <si>
    <t xml:space="preserve">Sr. No. </t>
  </si>
  <si>
    <t xml:space="preserve">Total </t>
  </si>
  <si>
    <t>LDT_MRJN_176/185</t>
  </si>
  <si>
    <t>hrs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</si>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</sst>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\ &quot;Hrs&quot;"/>
    <numFmt numFmtId="165" formatCode="0\ &quot;Nos&quot;"/>
    <numFmt numFmtId="166" formatCode="0\ &quot;Hrs&quot;\ "/>
    <numFmt numFmtId="167" formatCode="0\ &quot;days&quot;"/>
    <numFmt numFmtId="168" formatCode="0\ &quot;Mnths&quot;"/>
    <numFmt numFmtId="169" formatCode="_-[$$-409]* #,##0.00_ ;_-[$$-409]* \-#,##0.00\ ;_-[$$-409]* &quot;-&quot;??_ ;_-@_ "/>
    <numFmt numFmtId="170" formatCode="0.0"/>
    <numFmt numFmtId="171" formatCode="_ [$₹-4009]\ * #,##0_ ;_ [$₹-4009]\ * \-#,##0_ ;_ [$₹-4009]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2" borderId="2" xfId="0" applyFont="1" applyFill="1" applyBorder="1"/>
    <xf numFmtId="164" fontId="4" fillId="2" borderId="2" xfId="0" applyNumberFormat="1" applyFont="1" applyFill="1" applyBorder="1"/>
    <xf numFmtId="165" fontId="2" fillId="2" borderId="2" xfId="0" applyNumberFormat="1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1" fontId="1" fillId="3" borderId="2" xfId="0" applyNumberFormat="1" applyFont="1" applyFill="1" applyBorder="1"/>
    <xf numFmtId="0" fontId="0" fillId="4" borderId="3" xfId="0" applyFill="1" applyBorder="1"/>
    <xf numFmtId="165" fontId="2" fillId="4" borderId="3" xfId="0" applyNumberFormat="1" applyFont="1" applyFill="1" applyBorder="1"/>
    <xf numFmtId="1" fontId="0" fillId="4" borderId="3" xfId="0" applyNumberFormat="1" applyFill="1" applyBorder="1"/>
    <xf numFmtId="1" fontId="1" fillId="4" borderId="3" xfId="0" applyNumberFormat="1" applyFont="1" applyFill="1" applyBorder="1"/>
    <xf numFmtId="0" fontId="0" fillId="4" borderId="0" xfId="0" applyFill="1"/>
    <xf numFmtId="164" fontId="5" fillId="5" borderId="1" xfId="0" applyNumberFormat="1" applyFont="1" applyFill="1" applyBorder="1"/>
    <xf numFmtId="2" fontId="0" fillId="6" borderId="1" xfId="0" applyNumberFormat="1" applyFill="1" applyBorder="1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0" xfId="0" applyNumberFormat="1"/>
    <xf numFmtId="0" fontId="2" fillId="0" borderId="1" xfId="0" applyFont="1" applyBorder="1"/>
    <xf numFmtId="0" fontId="2" fillId="0" borderId="4" xfId="0" applyFont="1" applyBorder="1" applyAlignment="1">
      <alignment wrapText="1"/>
    </xf>
    <xf numFmtId="0" fontId="0" fillId="0" borderId="0" xfId="0" applyAlignment="1">
      <alignment horizontal="center" vertical="center"/>
    </xf>
    <xf numFmtId="167" fontId="2" fillId="2" borderId="2" xfId="0" applyNumberFormat="1" applyFont="1" applyFill="1" applyBorder="1"/>
    <xf numFmtId="168" fontId="2" fillId="2" borderId="2" xfId="0" applyNumberFormat="1" applyFont="1" applyFill="1" applyBorder="1"/>
    <xf numFmtId="16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wrapText="1"/>
    </xf>
    <xf numFmtId="170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2" fillId="0" borderId="1" xfId="0" applyFont="1" applyFill="1" applyBorder="1"/>
    <xf numFmtId="164" fontId="0" fillId="0" borderId="0" xfId="0" applyNumberFormat="1"/>
    <xf numFmtId="164" fontId="2" fillId="0" borderId="0" xfId="0" applyNumberFormat="1" applyFont="1"/>
    <xf numFmtId="171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I1" zoomScale="85" zoomScaleNormal="85" workbookViewId="0">
      <selection activeCell="S17" sqref="S17:AD17"/>
    </sheetView>
  </sheetViews>
  <sheetFormatPr defaultRowHeight="15" x14ac:dyDescent="0.25"/>
  <cols>
    <col min="1" max="1" width="27.85546875" bestFit="1" customWidth="1"/>
    <col min="2" max="2" width="43.28515625" bestFit="1" customWidth="1"/>
    <col min="3" max="3" width="16.7109375" customWidth="1"/>
    <col min="4" max="4" width="15.28515625" customWidth="1"/>
    <col min="5" max="6" width="10.5703125" bestFit="1" customWidth="1"/>
    <col min="7" max="7" width="10.5703125" customWidth="1"/>
    <col min="8" max="8" width="26.140625" customWidth="1"/>
    <col min="9" max="9" width="47.140625" bestFit="1" customWidth="1"/>
    <col min="10" max="10" width="10" bestFit="1" customWidth="1"/>
    <col min="11" max="11" width="16.85546875" bestFit="1" customWidth="1"/>
    <col min="12" max="12" width="21.140625" bestFit="1" customWidth="1"/>
    <col min="13" max="13" width="12.42578125" bestFit="1" customWidth="1"/>
    <col min="14" max="14" width="8.42578125" bestFit="1" customWidth="1"/>
    <col min="15" max="15" width="9" bestFit="1" customWidth="1"/>
    <col min="16" max="16" width="10.140625" bestFit="1" customWidth="1"/>
    <col min="17" max="23" width="10.140625" customWidth="1"/>
    <col min="24" max="24" width="13.42578125" bestFit="1" customWidth="1"/>
    <col min="25" max="25" width="8.85546875" bestFit="1" customWidth="1"/>
    <col min="26" max="26" width="18.5703125" customWidth="1"/>
    <col min="27" max="27" width="15.85546875" customWidth="1"/>
    <col min="28" max="28" width="17.42578125" bestFit="1" customWidth="1"/>
    <col min="29" max="29" width="11.7109375" customWidth="1"/>
    <col min="30" max="30" width="15.140625" bestFit="1" customWidth="1"/>
  </cols>
  <sheetData>
    <row r="1" spans="1:32" x14ac:dyDescent="0.25">
      <c r="A1" s="2" t="s">
        <v>2</v>
      </c>
      <c r="B1" s="3">
        <f>SUM(AD5:AD10)</f>
        <v>12168.637333333332</v>
      </c>
      <c r="C1" s="4" t="s">
        <v>3</v>
      </c>
      <c r="D1" s="5"/>
      <c r="E1" s="6"/>
      <c r="F1" s="27">
        <f>B1/8</f>
        <v>1521.0796666666665</v>
      </c>
      <c r="G1" s="27"/>
      <c r="H1" s="28">
        <f>F1/24</f>
        <v>63.378319444444436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</row>
    <row r="2" spans="1:32" s="12" customFormat="1" x14ac:dyDescent="0.25">
      <c r="A2" s="8"/>
      <c r="B2" s="8"/>
      <c r="C2" s="9"/>
      <c r="D2" s="8"/>
      <c r="E2" s="8"/>
      <c r="F2" s="8" t="s">
        <v>4</v>
      </c>
      <c r="G2" s="8"/>
      <c r="H2" s="10">
        <v>5</v>
      </c>
      <c r="I2" s="10">
        <v>4</v>
      </c>
      <c r="J2" s="10">
        <v>0</v>
      </c>
      <c r="K2" s="10">
        <v>0</v>
      </c>
      <c r="L2" s="10">
        <f>8*60</f>
        <v>480</v>
      </c>
      <c r="M2" s="10">
        <v>180</v>
      </c>
      <c r="N2" s="10"/>
      <c r="O2" s="10">
        <v>0</v>
      </c>
      <c r="P2" s="10">
        <v>0</v>
      </c>
      <c r="Q2" s="10"/>
      <c r="R2" s="10"/>
      <c r="S2" s="10"/>
      <c r="T2" s="10">
        <v>5</v>
      </c>
      <c r="U2" s="10"/>
      <c r="V2" s="10">
        <v>15</v>
      </c>
      <c r="W2" s="10">
        <v>0.15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1"/>
    </row>
    <row r="3" spans="1:32" ht="18" customHeight="1" x14ac:dyDescent="0.25">
      <c r="A3" s="1"/>
      <c r="B3" s="1" t="s">
        <v>5</v>
      </c>
      <c r="C3" s="13">
        <f>B1</f>
        <v>12168.637333333332</v>
      </c>
      <c r="D3" s="1"/>
      <c r="E3" s="1"/>
      <c r="F3" s="1" t="s">
        <v>6</v>
      </c>
      <c r="G3" s="1"/>
      <c r="H3" s="14">
        <f t="shared" ref="H3:AC3" si="0">H2/60</f>
        <v>8.3333333333333329E-2</v>
      </c>
      <c r="I3" s="14">
        <f t="shared" si="0"/>
        <v>6.6666666666666666E-2</v>
      </c>
      <c r="J3" s="14">
        <f t="shared" si="0"/>
        <v>0</v>
      </c>
      <c r="K3" s="14">
        <f t="shared" si="0"/>
        <v>0</v>
      </c>
      <c r="L3" s="14">
        <f t="shared" si="0"/>
        <v>8</v>
      </c>
      <c r="M3" s="14">
        <f t="shared" si="0"/>
        <v>3</v>
      </c>
      <c r="N3" s="14"/>
      <c r="O3" s="14">
        <f t="shared" si="0"/>
        <v>0</v>
      </c>
      <c r="P3" s="14">
        <f t="shared" si="0"/>
        <v>0</v>
      </c>
      <c r="Q3" s="14"/>
      <c r="R3" s="14"/>
      <c r="S3" s="14"/>
      <c r="T3" s="14">
        <f t="shared" ref="T3:V3" si="1">T2/60</f>
        <v>8.3333333333333329E-2</v>
      </c>
      <c r="U3" s="14"/>
      <c r="V3" s="14">
        <f t="shared" si="1"/>
        <v>0.25</v>
      </c>
      <c r="W3" s="14">
        <f>+W2</f>
        <v>0.15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"/>
    </row>
    <row r="4" spans="1:32" s="17" customFormat="1" ht="75" x14ac:dyDescent="0.25">
      <c r="A4" s="15" t="s">
        <v>44</v>
      </c>
      <c r="B4" s="15" t="s">
        <v>7</v>
      </c>
      <c r="C4" s="15" t="s">
        <v>29</v>
      </c>
      <c r="D4" s="15" t="s">
        <v>30</v>
      </c>
      <c r="E4" s="15" t="s">
        <v>8</v>
      </c>
      <c r="F4" s="15" t="s">
        <v>9</v>
      </c>
      <c r="G4" s="15" t="s">
        <v>50</v>
      </c>
      <c r="H4" s="16" t="s">
        <v>10</v>
      </c>
      <c r="I4" s="15" t="s">
        <v>11</v>
      </c>
      <c r="J4" s="15" t="s">
        <v>12</v>
      </c>
      <c r="K4" s="15" t="s">
        <v>13</v>
      </c>
      <c r="L4" s="15" t="s">
        <v>49</v>
      </c>
      <c r="M4" s="15" t="s">
        <v>14</v>
      </c>
      <c r="N4" s="15" t="s">
        <v>15</v>
      </c>
      <c r="O4" s="15" t="s">
        <v>16</v>
      </c>
      <c r="P4" s="15" t="s">
        <v>17</v>
      </c>
      <c r="Q4" s="15" t="s">
        <v>54</v>
      </c>
      <c r="R4" s="15" t="s">
        <v>56</v>
      </c>
      <c r="S4" s="15" t="s">
        <v>55</v>
      </c>
      <c r="T4" s="15" t="s">
        <v>47</v>
      </c>
      <c r="U4" s="15" t="s">
        <v>57</v>
      </c>
      <c r="V4" s="15" t="s">
        <v>51</v>
      </c>
      <c r="W4" s="15" t="s">
        <v>52</v>
      </c>
      <c r="X4" s="15" t="s">
        <v>46</v>
      </c>
      <c r="Y4" s="15" t="s">
        <v>18</v>
      </c>
      <c r="Z4" s="15" t="s">
        <v>19</v>
      </c>
      <c r="AA4" s="15" t="s">
        <v>20</v>
      </c>
      <c r="AB4" s="15" t="s">
        <v>21</v>
      </c>
      <c r="AC4" s="15" t="s">
        <v>22</v>
      </c>
      <c r="AD4" s="15" t="s">
        <v>23</v>
      </c>
      <c r="AF4" s="18"/>
    </row>
    <row r="5" spans="1:32" ht="18.75" x14ac:dyDescent="0.3">
      <c r="A5" s="30" t="s">
        <v>36</v>
      </c>
      <c r="B5" s="20">
        <f>E18</f>
        <v>180</v>
      </c>
      <c r="C5" s="20">
        <f>F18</f>
        <v>11</v>
      </c>
      <c r="D5" s="20">
        <f>H18</f>
        <v>108</v>
      </c>
      <c r="E5" s="20">
        <f>C18</f>
        <v>36</v>
      </c>
      <c r="F5" s="20">
        <f>I18</f>
        <v>324</v>
      </c>
      <c r="G5" s="20">
        <f>+J18</f>
        <v>288</v>
      </c>
      <c r="H5" s="21">
        <f>(F5+D5+B5)*H3</f>
        <v>51</v>
      </c>
      <c r="I5" s="21"/>
      <c r="J5" s="21"/>
      <c r="K5" s="21"/>
      <c r="L5" s="21">
        <f>(+E5/3)*$L$3</f>
        <v>96</v>
      </c>
      <c r="M5" s="21">
        <f>C5*$M$3</f>
        <v>33</v>
      </c>
      <c r="N5" s="21">
        <v>120</v>
      </c>
      <c r="O5" s="21">
        <f>E5*$O$3</f>
        <v>0</v>
      </c>
      <c r="P5" s="21">
        <v>0</v>
      </c>
      <c r="Q5" s="21">
        <v>8</v>
      </c>
      <c r="R5" s="21">
        <f>16.8*13</f>
        <v>218.4</v>
      </c>
      <c r="S5" s="33">
        <v>0.8</v>
      </c>
      <c r="T5" s="21">
        <f>(Q5*R5)*S5*$T$3</f>
        <v>116.48000000000002</v>
      </c>
      <c r="U5" s="32">
        <f>(+T5/8)</f>
        <v>14.560000000000002</v>
      </c>
      <c r="V5" s="21">
        <f>+G5*$V$3</f>
        <v>72</v>
      </c>
      <c r="W5" s="21">
        <f>+T5*$W$3</f>
        <v>17.472000000000001</v>
      </c>
      <c r="X5" s="21">
        <f>D18*$X$3</f>
        <v>0</v>
      </c>
      <c r="Y5" s="21">
        <v>0</v>
      </c>
      <c r="Z5" s="21">
        <f>E13*$Z$3</f>
        <v>0</v>
      </c>
      <c r="AA5" s="21">
        <f>E13*$AA$3</f>
        <v>0</v>
      </c>
      <c r="AB5" s="21">
        <f>C5*$AB$3</f>
        <v>0</v>
      </c>
      <c r="AC5" s="21">
        <f>C5*$AC$3</f>
        <v>0</v>
      </c>
      <c r="AD5" s="22">
        <f>+L5+M5+N5+O5+P5+T5+V5+W5+X5+Y5+Z5+AA5+AB5+AC5</f>
        <v>454.952</v>
      </c>
    </row>
    <row r="6" spans="1:32" ht="18.75" x14ac:dyDescent="0.3">
      <c r="A6" s="30" t="s">
        <v>37</v>
      </c>
      <c r="B6" s="20">
        <f t="shared" ref="B6:C6" si="2">E19</f>
        <v>155</v>
      </c>
      <c r="C6" s="20">
        <f t="shared" si="2"/>
        <v>10</v>
      </c>
      <c r="D6" s="20">
        <f>H19</f>
        <v>93</v>
      </c>
      <c r="E6" s="20">
        <f t="shared" ref="E6:E9" si="3">C19</f>
        <v>31</v>
      </c>
      <c r="F6" s="20">
        <f t="shared" ref="F6:F9" si="4">I19</f>
        <v>279</v>
      </c>
      <c r="G6" s="20">
        <f t="shared" ref="G6:G9" si="5">+J19</f>
        <v>248</v>
      </c>
      <c r="H6" s="21"/>
      <c r="I6" s="21"/>
      <c r="J6" s="21"/>
      <c r="K6" s="21"/>
      <c r="L6" s="21">
        <f t="shared" ref="L6:L9" si="6">(+E6/3)*$L$3</f>
        <v>82.666666666666671</v>
      </c>
      <c r="M6" s="21">
        <f t="shared" ref="M6:M9" si="7">C6*$M$3</f>
        <v>30</v>
      </c>
      <c r="N6" s="21"/>
      <c r="O6" s="21">
        <f t="shared" ref="O6:O9" si="8">E6*$O$3</f>
        <v>0</v>
      </c>
      <c r="P6" s="21">
        <v>0</v>
      </c>
      <c r="Q6" s="21">
        <v>8</v>
      </c>
      <c r="R6" s="21">
        <f>37*19</f>
        <v>703</v>
      </c>
      <c r="S6" s="33">
        <v>0.8</v>
      </c>
      <c r="T6" s="21">
        <f t="shared" ref="T6:T9" si="9">(Q6*R6)*S6*$T$3</f>
        <v>374.93333333333328</v>
      </c>
      <c r="U6" s="32">
        <f t="shared" ref="U6:U9" si="10">(+T6/8)</f>
        <v>46.86666666666666</v>
      </c>
      <c r="V6" s="21">
        <f t="shared" ref="V6:V9" si="11">+G6*$V$3</f>
        <v>62</v>
      </c>
      <c r="W6" s="21">
        <f t="shared" ref="W6:W9" si="12">+T6*$W$3</f>
        <v>56.239999999999988</v>
      </c>
      <c r="X6" s="21">
        <f t="shared" ref="X6:X9" si="13">D19*$X$3</f>
        <v>0</v>
      </c>
      <c r="Y6" s="21">
        <v>0</v>
      </c>
      <c r="Z6" s="21">
        <f>E14*$Z$3</f>
        <v>0</v>
      </c>
      <c r="AA6" s="21">
        <f>E14*$AA$3</f>
        <v>0</v>
      </c>
      <c r="AB6" s="21">
        <f t="shared" ref="AB6:AB9" si="14">C6*$AB$3</f>
        <v>0</v>
      </c>
      <c r="AC6" s="21">
        <f t="shared" ref="AC6:AC9" si="15">C6*$AC$3</f>
        <v>0</v>
      </c>
      <c r="AD6" s="22">
        <f t="shared" ref="AD6:AD9" si="16">+L6+M6+N6+O6+P6+T6+V6+W6+X6+Y6+Z6+AA6+AB6+AC6</f>
        <v>605.83999999999992</v>
      </c>
    </row>
    <row r="7" spans="1:32" ht="18.75" x14ac:dyDescent="0.3">
      <c r="A7" s="30" t="s">
        <v>38</v>
      </c>
      <c r="B7" s="20">
        <f t="shared" ref="B7:C7" si="17">E20</f>
        <v>145</v>
      </c>
      <c r="C7" s="20">
        <f t="shared" si="17"/>
        <v>9</v>
      </c>
      <c r="D7" s="20">
        <f>H20</f>
        <v>87</v>
      </c>
      <c r="E7" s="20">
        <f t="shared" si="3"/>
        <v>29</v>
      </c>
      <c r="F7" s="20">
        <f t="shared" si="4"/>
        <v>261</v>
      </c>
      <c r="G7" s="20">
        <f t="shared" si="5"/>
        <v>232</v>
      </c>
      <c r="H7" s="21"/>
      <c r="I7" s="21"/>
      <c r="J7" s="21"/>
      <c r="K7" s="21"/>
      <c r="L7" s="21">
        <f t="shared" si="6"/>
        <v>77.333333333333329</v>
      </c>
      <c r="M7" s="21">
        <f t="shared" si="7"/>
        <v>27</v>
      </c>
      <c r="N7" s="21"/>
      <c r="O7" s="21">
        <f t="shared" si="8"/>
        <v>0</v>
      </c>
      <c r="P7" s="21">
        <v>0</v>
      </c>
      <c r="Q7" s="21">
        <v>8</v>
      </c>
      <c r="R7" s="21">
        <f>33*27</f>
        <v>891</v>
      </c>
      <c r="S7" s="33">
        <v>0.8</v>
      </c>
      <c r="T7" s="21">
        <f t="shared" si="9"/>
        <v>475.20000000000005</v>
      </c>
      <c r="U7" s="32">
        <f t="shared" si="10"/>
        <v>59.400000000000006</v>
      </c>
      <c r="V7" s="21">
        <f t="shared" si="11"/>
        <v>58</v>
      </c>
      <c r="W7" s="21">
        <f t="shared" si="12"/>
        <v>71.28</v>
      </c>
      <c r="X7" s="21">
        <f t="shared" si="13"/>
        <v>0</v>
      </c>
      <c r="Y7" s="21">
        <v>0</v>
      </c>
      <c r="Z7" s="21">
        <f>E15*$Z$3</f>
        <v>0</v>
      </c>
      <c r="AA7" s="21">
        <f>E15*$AA$3</f>
        <v>0</v>
      </c>
      <c r="AB7" s="21">
        <f t="shared" si="14"/>
        <v>0</v>
      </c>
      <c r="AC7" s="21">
        <f t="shared" si="15"/>
        <v>0</v>
      </c>
      <c r="AD7" s="22">
        <f t="shared" si="16"/>
        <v>708.81333333333339</v>
      </c>
    </row>
    <row r="8" spans="1:32" ht="18.75" x14ac:dyDescent="0.3">
      <c r="A8" s="30" t="s">
        <v>39</v>
      </c>
      <c r="B8" s="20">
        <f t="shared" ref="B8:C8" si="18">E21</f>
        <v>715</v>
      </c>
      <c r="C8" s="20">
        <f t="shared" si="18"/>
        <v>43</v>
      </c>
      <c r="D8" s="20">
        <f>H21</f>
        <v>429</v>
      </c>
      <c r="E8" s="20">
        <f t="shared" si="3"/>
        <v>143</v>
      </c>
      <c r="F8" s="20">
        <f t="shared" si="4"/>
        <v>1287</v>
      </c>
      <c r="G8" s="20">
        <f t="shared" si="5"/>
        <v>1144</v>
      </c>
      <c r="H8" s="21"/>
      <c r="I8" s="21"/>
      <c r="J8" s="21"/>
      <c r="K8" s="21"/>
      <c r="L8" s="21">
        <f t="shared" si="6"/>
        <v>381.33333333333331</v>
      </c>
      <c r="M8" s="21">
        <f t="shared" si="7"/>
        <v>129</v>
      </c>
      <c r="N8" s="21"/>
      <c r="O8" s="21">
        <f t="shared" si="8"/>
        <v>0</v>
      </c>
      <c r="P8" s="21">
        <v>0</v>
      </c>
      <c r="Q8" s="21">
        <v>9</v>
      </c>
      <c r="R8" s="21">
        <f>52*51</f>
        <v>2652</v>
      </c>
      <c r="S8" s="33">
        <v>0.8</v>
      </c>
      <c r="T8" s="21">
        <f t="shared" si="9"/>
        <v>1591.2</v>
      </c>
      <c r="U8" s="32">
        <f t="shared" si="10"/>
        <v>198.9</v>
      </c>
      <c r="V8" s="21">
        <f t="shared" si="11"/>
        <v>286</v>
      </c>
      <c r="W8" s="21">
        <f t="shared" si="12"/>
        <v>238.68</v>
      </c>
      <c r="X8" s="21">
        <f t="shared" si="13"/>
        <v>0</v>
      </c>
      <c r="Y8" s="21">
        <v>0</v>
      </c>
      <c r="Z8" s="21">
        <f>E16*$Z$3</f>
        <v>0</v>
      </c>
      <c r="AA8" s="21">
        <f>E16*$AA$3</f>
        <v>0</v>
      </c>
      <c r="AB8" s="21">
        <f t="shared" si="14"/>
        <v>0</v>
      </c>
      <c r="AC8" s="21">
        <f t="shared" si="15"/>
        <v>0</v>
      </c>
      <c r="AD8" s="22">
        <f t="shared" si="16"/>
        <v>2626.2133333333331</v>
      </c>
    </row>
    <row r="9" spans="1:32" ht="18.75" x14ac:dyDescent="0.3">
      <c r="A9" s="30" t="s">
        <v>40</v>
      </c>
      <c r="B9" s="20">
        <f t="shared" ref="B9:C9" si="19">E22</f>
        <v>775</v>
      </c>
      <c r="C9" s="20">
        <f t="shared" si="19"/>
        <v>47</v>
      </c>
      <c r="D9" s="20">
        <f>H22</f>
        <v>465</v>
      </c>
      <c r="E9" s="20">
        <f t="shared" si="3"/>
        <v>155</v>
      </c>
      <c r="F9" s="20">
        <f t="shared" si="4"/>
        <v>1395</v>
      </c>
      <c r="G9" s="20">
        <f t="shared" si="5"/>
        <v>1240</v>
      </c>
      <c r="H9" s="21"/>
      <c r="I9" s="21"/>
      <c r="J9" s="21"/>
      <c r="K9" s="21"/>
      <c r="L9" s="21">
        <f t="shared" si="6"/>
        <v>413.33333333333331</v>
      </c>
      <c r="M9" s="21">
        <f t="shared" si="7"/>
        <v>141</v>
      </c>
      <c r="N9" s="21"/>
      <c r="O9" s="21">
        <f t="shared" si="8"/>
        <v>0</v>
      </c>
      <c r="P9" s="21">
        <v>0</v>
      </c>
      <c r="Q9" s="21">
        <v>10</v>
      </c>
      <c r="R9" s="21">
        <f>25*43</f>
        <v>1075</v>
      </c>
      <c r="S9" s="33">
        <v>0.8</v>
      </c>
      <c r="T9" s="21">
        <f t="shared" si="9"/>
        <v>716.66666666666663</v>
      </c>
      <c r="U9" s="32">
        <f t="shared" si="10"/>
        <v>89.583333333333329</v>
      </c>
      <c r="V9" s="21">
        <f t="shared" si="11"/>
        <v>310</v>
      </c>
      <c r="W9" s="21">
        <f t="shared" si="12"/>
        <v>107.49999999999999</v>
      </c>
      <c r="X9" s="21">
        <f t="shared" si="13"/>
        <v>0</v>
      </c>
      <c r="Y9" s="21">
        <v>0</v>
      </c>
      <c r="Z9" s="21">
        <v>0</v>
      </c>
      <c r="AA9" s="21">
        <v>0</v>
      </c>
      <c r="AB9" s="21">
        <f t="shared" si="14"/>
        <v>0</v>
      </c>
      <c r="AC9" s="21">
        <f t="shared" si="15"/>
        <v>0</v>
      </c>
      <c r="AD9" s="22">
        <f t="shared" si="16"/>
        <v>1688.5</v>
      </c>
    </row>
    <row r="10" spans="1:32" x14ac:dyDescent="0.25">
      <c r="A10" s="19" t="s">
        <v>24</v>
      </c>
      <c r="B10" s="20">
        <f t="shared" ref="B10:C10" si="20">E19</f>
        <v>155</v>
      </c>
      <c r="C10" s="20">
        <f t="shared" si="20"/>
        <v>10</v>
      </c>
      <c r="D10" s="20">
        <f>H19</f>
        <v>93</v>
      </c>
      <c r="E10" s="20">
        <f>C19</f>
        <v>31</v>
      </c>
      <c r="F10" s="20">
        <f>I19</f>
        <v>279</v>
      </c>
      <c r="G10" s="20"/>
      <c r="H10" s="22"/>
      <c r="I10" s="22"/>
      <c r="J10" s="22"/>
      <c r="K10" s="22"/>
      <c r="L10" s="22">
        <f>SUM(L5:L9)</f>
        <v>1050.6666666666665</v>
      </c>
      <c r="M10" s="22">
        <f>SUM(M5:M9)</f>
        <v>360</v>
      </c>
      <c r="N10" s="22">
        <f>SUM(N5:N9)</f>
        <v>120</v>
      </c>
      <c r="O10" s="22">
        <f>SUM(O5:O9)</f>
        <v>0</v>
      </c>
      <c r="P10" s="22">
        <f>SUM(P5:P9)</f>
        <v>0</v>
      </c>
      <c r="Q10" s="22"/>
      <c r="R10" s="22"/>
      <c r="S10" s="22"/>
      <c r="T10" s="22">
        <f>SUM(T5:T9)</f>
        <v>3274.48</v>
      </c>
      <c r="U10" s="22"/>
      <c r="V10" s="22">
        <f t="shared" ref="V10:AD10" si="21">SUM(V5:V9)</f>
        <v>788</v>
      </c>
      <c r="W10" s="22">
        <f t="shared" si="21"/>
        <v>491.17200000000003</v>
      </c>
      <c r="X10" s="22">
        <f t="shared" si="21"/>
        <v>0</v>
      </c>
      <c r="Y10" s="22">
        <f t="shared" si="21"/>
        <v>0</v>
      </c>
      <c r="Z10" s="22">
        <f t="shared" si="21"/>
        <v>0</v>
      </c>
      <c r="AA10" s="22">
        <f t="shared" si="21"/>
        <v>0</v>
      </c>
      <c r="AB10" s="22">
        <f t="shared" si="21"/>
        <v>0</v>
      </c>
      <c r="AC10" s="22">
        <f t="shared" si="21"/>
        <v>0</v>
      </c>
      <c r="AD10" s="22">
        <f t="shared" si="21"/>
        <v>6084.3186666666661</v>
      </c>
      <c r="AE10" s="22"/>
    </row>
    <row r="11" spans="1:32" x14ac:dyDescent="0.25">
      <c r="H11" s="23"/>
      <c r="X11" t="s">
        <v>53</v>
      </c>
    </row>
    <row r="12" spans="1:32" x14ac:dyDescent="0.25">
      <c r="T12">
        <f>+T5/8</f>
        <v>14.560000000000002</v>
      </c>
    </row>
    <row r="13" spans="1:32" x14ac:dyDescent="0.25">
      <c r="B13" t="s">
        <v>25</v>
      </c>
      <c r="C13">
        <v>200</v>
      </c>
      <c r="D13" t="s">
        <v>35</v>
      </c>
      <c r="E13">
        <f>C13*3</f>
        <v>600</v>
      </c>
      <c r="T13">
        <f>+T12/25</f>
        <v>0.58240000000000014</v>
      </c>
    </row>
    <row r="14" spans="1:32" x14ac:dyDescent="0.25">
      <c r="B14" t="s">
        <v>27</v>
      </c>
      <c r="C14">
        <v>9</v>
      </c>
    </row>
    <row r="15" spans="1:32" x14ac:dyDescent="0.25">
      <c r="B15" t="s">
        <v>26</v>
      </c>
      <c r="C15">
        <f>C13*C14</f>
        <v>1800</v>
      </c>
      <c r="F15" s="29"/>
      <c r="G15" s="29"/>
    </row>
    <row r="16" spans="1:32" x14ac:dyDescent="0.25">
      <c r="I16" t="s">
        <v>43</v>
      </c>
      <c r="J16">
        <v>8</v>
      </c>
    </row>
    <row r="17" spans="1:31" ht="60" x14ac:dyDescent="0.25">
      <c r="A17" s="24" t="s">
        <v>41</v>
      </c>
      <c r="B17" s="24" t="s">
        <v>0</v>
      </c>
      <c r="C17" s="24" t="s">
        <v>45</v>
      </c>
      <c r="D17" s="25" t="s">
        <v>28</v>
      </c>
      <c r="E17" s="25" t="s">
        <v>33</v>
      </c>
      <c r="F17" s="17" t="s">
        <v>32</v>
      </c>
      <c r="G17" s="17"/>
      <c r="H17" s="17" t="s">
        <v>31</v>
      </c>
      <c r="I17" s="17" t="s">
        <v>34</v>
      </c>
      <c r="J17" s="31" t="s">
        <v>42</v>
      </c>
    </row>
    <row r="18" spans="1:31" x14ac:dyDescent="0.25">
      <c r="A18" s="30" t="s">
        <v>36</v>
      </c>
      <c r="B18" s="1" t="s">
        <v>1</v>
      </c>
      <c r="C18" s="1">
        <v>36</v>
      </c>
      <c r="D18">
        <f>+C18/5</f>
        <v>7.2</v>
      </c>
      <c r="E18">
        <f>C18*5</f>
        <v>180</v>
      </c>
      <c r="F18">
        <f>ROUNDUP(C18*30%,0)</f>
        <v>11</v>
      </c>
      <c r="H18">
        <f>C18*3</f>
        <v>108</v>
      </c>
      <c r="I18" s="26">
        <f>H18+E18+C18</f>
        <v>324</v>
      </c>
      <c r="J18">
        <f>+C18*$J$16</f>
        <v>288</v>
      </c>
    </row>
    <row r="19" spans="1:31" x14ac:dyDescent="0.25">
      <c r="A19" s="30" t="s">
        <v>37</v>
      </c>
      <c r="B19" s="1" t="s">
        <v>1</v>
      </c>
      <c r="C19" s="1">
        <v>31</v>
      </c>
      <c r="D19">
        <f t="shared" ref="D19:D22" si="22">+C19/5</f>
        <v>6.2</v>
      </c>
      <c r="E19">
        <f t="shared" ref="E19:E22" si="23">C19*5</f>
        <v>155</v>
      </c>
      <c r="F19">
        <f t="shared" ref="F19:F22" si="24">ROUNDUP(C19*30%,0)</f>
        <v>10</v>
      </c>
      <c r="H19">
        <f t="shared" ref="H19:H22" si="25">C19*3</f>
        <v>93</v>
      </c>
      <c r="I19" s="26">
        <f t="shared" ref="I19:I22" si="26">H19+E19+C19</f>
        <v>279</v>
      </c>
      <c r="J19">
        <f t="shared" ref="J19:J22" si="27">+C19*$J$16</f>
        <v>248</v>
      </c>
    </row>
    <row r="20" spans="1:31" x14ac:dyDescent="0.25">
      <c r="A20" s="30" t="s">
        <v>38</v>
      </c>
      <c r="B20" s="1" t="s">
        <v>1</v>
      </c>
      <c r="C20">
        <v>29</v>
      </c>
      <c r="D20">
        <f t="shared" si="22"/>
        <v>5.8</v>
      </c>
      <c r="E20">
        <f t="shared" si="23"/>
        <v>145</v>
      </c>
      <c r="F20">
        <f t="shared" si="24"/>
        <v>9</v>
      </c>
      <c r="H20">
        <f t="shared" si="25"/>
        <v>87</v>
      </c>
      <c r="I20" s="26">
        <f t="shared" si="26"/>
        <v>261</v>
      </c>
      <c r="J20">
        <f t="shared" si="27"/>
        <v>232</v>
      </c>
    </row>
    <row r="21" spans="1:31" x14ac:dyDescent="0.25">
      <c r="A21" s="30" t="s">
        <v>39</v>
      </c>
      <c r="B21" s="1" t="s">
        <v>1</v>
      </c>
      <c r="C21">
        <v>143</v>
      </c>
      <c r="D21">
        <f t="shared" si="22"/>
        <v>28.6</v>
      </c>
      <c r="E21">
        <f t="shared" si="23"/>
        <v>715</v>
      </c>
      <c r="F21">
        <f t="shared" si="24"/>
        <v>43</v>
      </c>
      <c r="H21">
        <f t="shared" si="25"/>
        <v>429</v>
      </c>
      <c r="I21" s="26">
        <f t="shared" si="26"/>
        <v>1287</v>
      </c>
      <c r="J21">
        <f t="shared" si="27"/>
        <v>1144</v>
      </c>
      <c r="L21">
        <f>8*60</f>
        <v>480</v>
      </c>
      <c r="AE21" s="39"/>
    </row>
    <row r="22" spans="1:31" x14ac:dyDescent="0.25">
      <c r="A22" s="30" t="s">
        <v>40</v>
      </c>
      <c r="B22" s="1" t="s">
        <v>1</v>
      </c>
      <c r="C22">
        <v>155</v>
      </c>
      <c r="D22">
        <f t="shared" si="22"/>
        <v>31</v>
      </c>
      <c r="E22">
        <f t="shared" si="23"/>
        <v>775</v>
      </c>
      <c r="F22">
        <f t="shared" si="24"/>
        <v>47</v>
      </c>
      <c r="H22">
        <f t="shared" si="25"/>
        <v>465</v>
      </c>
      <c r="I22" s="26">
        <f t="shared" si="26"/>
        <v>1395</v>
      </c>
      <c r="J22">
        <f t="shared" si="27"/>
        <v>1240</v>
      </c>
      <c r="L22">
        <f>+L21/3</f>
        <v>160</v>
      </c>
    </row>
    <row r="23" spans="1:31" x14ac:dyDescent="0.25">
      <c r="L23">
        <f>480/60</f>
        <v>8</v>
      </c>
    </row>
    <row r="25" spans="1:31" x14ac:dyDescent="0.25">
      <c r="L25">
        <v>18</v>
      </c>
    </row>
    <row r="26" spans="1:31" x14ac:dyDescent="0.25">
      <c r="L26">
        <f>4*60</f>
        <v>240</v>
      </c>
    </row>
    <row r="27" spans="1:31" x14ac:dyDescent="0.25">
      <c r="J27">
        <f>180/36</f>
        <v>5</v>
      </c>
      <c r="L27">
        <f>+L25*L26</f>
        <v>4320</v>
      </c>
    </row>
    <row r="28" spans="1:31" x14ac:dyDescent="0.25">
      <c r="L28">
        <f>+L27/60</f>
        <v>72</v>
      </c>
      <c r="M28" t="s">
        <v>66</v>
      </c>
    </row>
    <row r="29" spans="1:31" x14ac:dyDescent="0.25">
      <c r="L29">
        <f>+L28/8</f>
        <v>9</v>
      </c>
      <c r="M2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H7" sqref="H7"/>
    </sheetView>
  </sheetViews>
  <sheetFormatPr defaultRowHeight="15" x14ac:dyDescent="0.25"/>
  <cols>
    <col min="1" max="1" width="7.28515625" bestFit="1" customWidth="1"/>
    <col min="2" max="2" width="26.7109375" bestFit="1" customWidth="1"/>
    <col min="3" max="3" width="12.5703125" bestFit="1" customWidth="1"/>
    <col min="4" max="4" width="9.85546875" bestFit="1" customWidth="1"/>
    <col min="5" max="5" width="11.28515625" bestFit="1" customWidth="1"/>
    <col min="6" max="6" width="16.140625" bestFit="1" customWidth="1"/>
    <col min="7" max="7" width="10.85546875" bestFit="1" customWidth="1"/>
    <col min="8" max="8" width="11" bestFit="1" customWidth="1"/>
    <col min="9" max="9" width="10.85546875" bestFit="1" customWidth="1"/>
  </cols>
  <sheetData>
    <row r="3" spans="1:10" x14ac:dyDescent="0.25">
      <c r="A3" s="24" t="s">
        <v>63</v>
      </c>
      <c r="B3" s="24" t="s">
        <v>41</v>
      </c>
      <c r="C3" s="24" t="s">
        <v>62</v>
      </c>
      <c r="D3" s="24" t="s">
        <v>58</v>
      </c>
      <c r="E3" s="24" t="s">
        <v>61</v>
      </c>
      <c r="F3" s="24" t="s">
        <v>48</v>
      </c>
      <c r="G3" s="24" t="s">
        <v>59</v>
      </c>
      <c r="H3" s="24" t="s">
        <v>60</v>
      </c>
      <c r="I3" s="36" t="s">
        <v>64</v>
      </c>
    </row>
    <row r="4" spans="1:10" x14ac:dyDescent="0.25">
      <c r="A4" s="41">
        <v>1</v>
      </c>
      <c r="B4" s="42" t="s">
        <v>36</v>
      </c>
      <c r="C4" s="43">
        <f>+'Estimation Sheet_'!N5</f>
        <v>120</v>
      </c>
      <c r="D4" s="43">
        <f>+'Estimation Sheet_'!L5</f>
        <v>96</v>
      </c>
      <c r="E4" s="43">
        <f>+'Estimation Sheet_'!M5</f>
        <v>33</v>
      </c>
      <c r="F4" s="43">
        <f>+'Estimation Sheet_'!V5</f>
        <v>72</v>
      </c>
      <c r="G4" s="43">
        <f>+'Estimation Sheet_'!T5</f>
        <v>116.48000000000002</v>
      </c>
      <c r="H4" s="43">
        <f>+'Estimation Sheet_'!W5</f>
        <v>17.472000000000001</v>
      </c>
      <c r="I4" s="43">
        <f>SUM(C4:H4)</f>
        <v>454.952</v>
      </c>
      <c r="J4" s="35"/>
    </row>
    <row r="5" spans="1:10" x14ac:dyDescent="0.25">
      <c r="A5" s="41">
        <v>2</v>
      </c>
      <c r="B5" s="42" t="s">
        <v>65</v>
      </c>
      <c r="C5" s="43">
        <f t="shared" ref="C5:I5" si="0">+C4</f>
        <v>120</v>
      </c>
      <c r="D5" s="43">
        <f t="shared" si="0"/>
        <v>96</v>
      </c>
      <c r="E5" s="43">
        <f t="shared" si="0"/>
        <v>33</v>
      </c>
      <c r="F5" s="43">
        <f t="shared" si="0"/>
        <v>72</v>
      </c>
      <c r="G5" s="43">
        <f t="shared" si="0"/>
        <v>116.48000000000002</v>
      </c>
      <c r="H5" s="43">
        <f t="shared" si="0"/>
        <v>17.472000000000001</v>
      </c>
      <c r="I5" s="43">
        <f t="shared" si="0"/>
        <v>454.952</v>
      </c>
      <c r="J5" s="35"/>
    </row>
    <row r="6" spans="1:10" x14ac:dyDescent="0.25">
      <c r="A6" s="41">
        <v>3</v>
      </c>
      <c r="B6" s="42" t="s">
        <v>37</v>
      </c>
      <c r="C6" s="43">
        <f>+'Estimation Sheet_'!N6</f>
        <v>0</v>
      </c>
      <c r="D6" s="43">
        <f>+'Estimation Sheet_'!L6</f>
        <v>82.666666666666671</v>
      </c>
      <c r="E6" s="43">
        <f>+'Estimation Sheet_'!M6</f>
        <v>30</v>
      </c>
      <c r="F6" s="43">
        <f>+'Estimation Sheet_'!V6</f>
        <v>62</v>
      </c>
      <c r="G6" s="43">
        <f>+'Estimation Sheet_'!T6</f>
        <v>374.93333333333328</v>
      </c>
      <c r="H6" s="43">
        <f>+'Estimation Sheet_'!W6</f>
        <v>56.239999999999988</v>
      </c>
      <c r="I6" s="43">
        <f t="shared" ref="I6:I9" si="1">SUM(C6:H6)</f>
        <v>605.83999999999992</v>
      </c>
      <c r="J6" s="35"/>
    </row>
    <row r="7" spans="1:10" x14ac:dyDescent="0.25">
      <c r="A7" s="41">
        <v>4</v>
      </c>
      <c r="B7" s="42" t="s">
        <v>38</v>
      </c>
      <c r="C7" s="43">
        <f>+'Estimation Sheet_'!N7</f>
        <v>0</v>
      </c>
      <c r="D7" s="43">
        <f>+'Estimation Sheet_'!L7</f>
        <v>77.333333333333329</v>
      </c>
      <c r="E7" s="43">
        <f>+'Estimation Sheet_'!M7</f>
        <v>27</v>
      </c>
      <c r="F7" s="43">
        <f>+'Estimation Sheet_'!V7</f>
        <v>58</v>
      </c>
      <c r="G7" s="43">
        <f>+'Estimation Sheet_'!T7</f>
        <v>475.20000000000005</v>
      </c>
      <c r="H7" s="43">
        <f>+'Estimation Sheet_'!W7</f>
        <v>71.28</v>
      </c>
      <c r="I7" s="43">
        <f t="shared" si="1"/>
        <v>708.81333333333328</v>
      </c>
      <c r="J7" s="35"/>
    </row>
    <row r="8" spans="1:10" x14ac:dyDescent="0.25">
      <c r="A8" s="19">
        <v>5</v>
      </c>
      <c r="B8" s="34" t="s">
        <v>39</v>
      </c>
      <c r="C8" s="40">
        <f>+'Estimation Sheet_'!N8</f>
        <v>0</v>
      </c>
      <c r="D8" s="40">
        <f>+'Estimation Sheet_'!L8</f>
        <v>381.33333333333331</v>
      </c>
      <c r="E8" s="40">
        <f>+'Estimation Sheet_'!M8</f>
        <v>129</v>
      </c>
      <c r="F8" s="40">
        <f>+'Estimation Sheet_'!V8</f>
        <v>286</v>
      </c>
      <c r="G8" s="40">
        <f>+'Estimation Sheet_'!T8</f>
        <v>1591.2</v>
      </c>
      <c r="H8" s="40">
        <f>+'Estimation Sheet_'!W8</f>
        <v>238.68</v>
      </c>
      <c r="I8" s="40">
        <f t="shared" si="1"/>
        <v>2626.2133333333331</v>
      </c>
      <c r="J8" s="35"/>
    </row>
    <row r="9" spans="1:10" x14ac:dyDescent="0.25">
      <c r="A9" s="19">
        <v>6</v>
      </c>
      <c r="B9" s="34" t="s">
        <v>40</v>
      </c>
      <c r="C9" s="40">
        <f>+'Estimation Sheet_'!N9</f>
        <v>0</v>
      </c>
      <c r="D9" s="40">
        <f>+'Estimation Sheet_'!L9</f>
        <v>413.33333333333331</v>
      </c>
      <c r="E9" s="40">
        <f>+'Estimation Sheet_'!M9</f>
        <v>141</v>
      </c>
      <c r="F9" s="40">
        <f>+'Estimation Sheet_'!V9</f>
        <v>310</v>
      </c>
      <c r="G9" s="40">
        <f>+'Estimation Sheet_'!T9</f>
        <v>716.66666666666663</v>
      </c>
      <c r="H9" s="40">
        <f>+'Estimation Sheet_'!W9</f>
        <v>107.49999999999999</v>
      </c>
      <c r="I9" s="40">
        <f t="shared" si="1"/>
        <v>1688.5</v>
      </c>
      <c r="J9" s="35"/>
    </row>
    <row r="10" spans="1:10" x14ac:dyDescent="0.25">
      <c r="C10" s="37"/>
      <c r="D10" s="37"/>
      <c r="E10" s="37"/>
      <c r="F10" s="37"/>
      <c r="G10" s="37"/>
      <c r="H10" s="37"/>
      <c r="I10" s="38">
        <f>SUM(I4:I9)</f>
        <v>6539.2706666666663</v>
      </c>
    </row>
    <row r="14" spans="1:10" x14ac:dyDescent="0.25">
      <c r="A14" s="24" t="s">
        <v>63</v>
      </c>
      <c r="B14" s="24" t="s">
        <v>41</v>
      </c>
      <c r="C14" s="24" t="s">
        <v>64</v>
      </c>
    </row>
    <row r="15" spans="1:10" x14ac:dyDescent="0.25">
      <c r="A15" s="1">
        <v>1</v>
      </c>
      <c r="B15" s="1" t="s">
        <v>36</v>
      </c>
      <c r="C15" s="1">
        <v>505</v>
      </c>
    </row>
    <row r="16" spans="1:10" x14ac:dyDescent="0.25">
      <c r="A16" s="1">
        <v>2</v>
      </c>
      <c r="B16" s="1" t="s">
        <v>65</v>
      </c>
      <c r="C16" s="1">
        <v>500</v>
      </c>
    </row>
    <row r="17" spans="1:3" x14ac:dyDescent="0.25">
      <c r="A17" s="1">
        <v>3</v>
      </c>
      <c r="B17" s="1" t="s">
        <v>37</v>
      </c>
      <c r="C17" s="1">
        <v>606</v>
      </c>
    </row>
    <row r="18" spans="1:3" x14ac:dyDescent="0.25">
      <c r="A18" s="1">
        <v>4</v>
      </c>
      <c r="B18" s="1" t="s">
        <v>38</v>
      </c>
      <c r="C18" s="1">
        <v>809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Sheet_</vt:lpstr>
      <vt:lpstr>Summary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Sutar</dc:creator>
  <cp:lastModifiedBy>Vishal Ajit Sutar</cp:lastModifiedBy>
  <dcterms:created xsi:type="dcterms:W3CDTF">2023-12-29T07:41:30Z</dcterms:created>
  <dcterms:modified xsi:type="dcterms:W3CDTF">2024-08-16T06:31:36Z</dcterms:modified>
</cp:coreProperties>
</file>