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Akshay\CFA\AVFM\Projects - Locked for Public\"/>
    </mc:Choice>
  </mc:AlternateContent>
  <xr:revisionPtr revIDLastSave="0" documentId="13_ncr:1_{DA1253D2-3FF4-4372-92A3-80A59334B254}" xr6:coauthVersionLast="47" xr6:coauthVersionMax="47" xr10:uidLastSave="{00000000-0000-0000-0000-000000000000}"/>
  <bookViews>
    <workbookView xWindow="-108" yWindow="-108" windowWidth="23256" windowHeight="12456" tabRatio="928" firstSheet="7" activeTab="11" xr2:uid="{5DB57AB0-0760-4DA3-ADAE-3983A06AD74C}"/>
  </bookViews>
  <sheets>
    <sheet name="Cover&gt;" sheetId="4" r:id="rId1"/>
    <sheet name="Input Sheet" sheetId="28" r:id="rId2"/>
    <sheet name="WACC" sheetId="31" r:id="rId3"/>
    <sheet name="Damodaran" sheetId="30" r:id="rId4"/>
    <sheet name="Control Sheet" sheetId="6" r:id="rId5"/>
    <sheet name="Schedules" sheetId="11" r:id="rId6"/>
    <sheet name="3 Statement Model" sheetId="13" r:id="rId7"/>
    <sheet name="Common Size Statement" sheetId="29" r:id="rId8"/>
    <sheet name="Ratios" sheetId="15" r:id="rId9"/>
    <sheet name="Dupont Analysis" sheetId="33" r:id="rId10"/>
    <sheet name="DCF&gt;" sheetId="16" r:id="rId11"/>
    <sheet name="DCFVal" sheetId="18" r:id="rId12"/>
    <sheet name="Workings&gt;" sheetId="27" r:id="rId13"/>
    <sheet name="Assumptions" sheetId="23" r:id="rId14"/>
    <sheet name="Growth Drivers" sheetId="24" r:id="rId15"/>
    <sheet name="Option value" sheetId="32" r:id="rId16"/>
    <sheet name="Client Data" sheetId="3" r:id="rId17"/>
    <sheet name="BS" sheetId="25" r:id="rId18"/>
    <sheet name="P&amp;L" sheetId="21" r:id="rId19"/>
    <sheet name="CFS_" sheetId="26" r:id="rId20"/>
  </sheets>
  <definedNames>
    <definedName name="CIQWBGuid" hidden="1">"9bd8df8b-044c-4dd6-a0df-b0c3f83b8dd9"</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"06/08/2021 20:37:46"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191029" iterate="1" iterateDelta="9.9999999999999998E-2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111" i="13" l="1"/>
  <c r="Q111" i="13"/>
  <c r="P111" i="13"/>
  <c r="L111" i="13"/>
  <c r="K111" i="13"/>
  <c r="J111" i="13"/>
  <c r="I111" i="13"/>
  <c r="B2" i="18"/>
  <c r="G36" i="33"/>
  <c r="F36" i="33"/>
  <c r="E36" i="33"/>
  <c r="D36" i="33"/>
  <c r="G34" i="33"/>
  <c r="F34" i="33"/>
  <c r="E34" i="33"/>
  <c r="D34" i="33"/>
  <c r="G33" i="33"/>
  <c r="F33" i="33"/>
  <c r="E33" i="33"/>
  <c r="D33" i="33"/>
  <c r="G32" i="33"/>
  <c r="F32" i="33"/>
  <c r="E32" i="33"/>
  <c r="D32" i="33"/>
  <c r="R31" i="33"/>
  <c r="Q31" i="33"/>
  <c r="P31" i="33"/>
  <c r="O31" i="33"/>
  <c r="N31" i="33"/>
  <c r="M31" i="33"/>
  <c r="L31" i="33"/>
  <c r="K31" i="33"/>
  <c r="J31" i="33"/>
  <c r="I31" i="33"/>
  <c r="H31" i="33"/>
  <c r="G31" i="33"/>
  <c r="F31" i="33"/>
  <c r="E31" i="33"/>
  <c r="D31" i="33"/>
  <c r="C31" i="33"/>
  <c r="R25" i="33"/>
  <c r="Q25" i="33"/>
  <c r="P25" i="33"/>
  <c r="O25" i="33"/>
  <c r="N25" i="33"/>
  <c r="M25" i="33"/>
  <c r="L25" i="33"/>
  <c r="K25" i="33"/>
  <c r="J25" i="33"/>
  <c r="I25" i="33"/>
  <c r="H25" i="33"/>
  <c r="G25" i="33"/>
  <c r="F25" i="33"/>
  <c r="E25" i="33"/>
  <c r="D25" i="33"/>
  <c r="C25" i="33"/>
  <c r="C5" i="33"/>
  <c r="G5" i="33"/>
  <c r="F5" i="33"/>
  <c r="E5" i="33"/>
  <c r="D5" i="33"/>
  <c r="C15" i="33"/>
  <c r="R9" i="33"/>
  <c r="Q9" i="33"/>
  <c r="P9" i="33"/>
  <c r="O9" i="33"/>
  <c r="N9" i="33"/>
  <c r="M9" i="33"/>
  <c r="L9" i="33"/>
  <c r="K9" i="33"/>
  <c r="J9" i="33"/>
  <c r="G12" i="33"/>
  <c r="F12" i="33"/>
  <c r="E12" i="33"/>
  <c r="D12" i="33"/>
  <c r="G11" i="33"/>
  <c r="F11" i="33"/>
  <c r="E11" i="33"/>
  <c r="D11" i="33"/>
  <c r="G10" i="33"/>
  <c r="F10" i="33"/>
  <c r="E10" i="33"/>
  <c r="D10" i="33"/>
  <c r="C11" i="33"/>
  <c r="R3" i="33"/>
  <c r="Q3" i="33"/>
  <c r="P3" i="33"/>
  <c r="O3" i="33"/>
  <c r="N3" i="33"/>
  <c r="M3" i="33"/>
  <c r="L3" i="33"/>
  <c r="K3" i="33"/>
  <c r="J3" i="33"/>
  <c r="R111" i="13" l="1"/>
  <c r="M111" i="13"/>
  <c r="N111" i="13"/>
  <c r="O111" i="13"/>
  <c r="G85" i="15"/>
  <c r="F85" i="15"/>
  <c r="E85" i="15"/>
  <c r="D85" i="15"/>
  <c r="C85" i="15"/>
  <c r="H75" i="15"/>
  <c r="G75" i="15"/>
  <c r="F75" i="15"/>
  <c r="E75" i="15"/>
  <c r="D75" i="15"/>
  <c r="G74" i="15"/>
  <c r="F74" i="15"/>
  <c r="E74" i="15"/>
  <c r="D74" i="15"/>
  <c r="C74" i="15"/>
  <c r="G66" i="15"/>
  <c r="F66" i="15"/>
  <c r="E66" i="15"/>
  <c r="D66" i="15"/>
  <c r="G61" i="15"/>
  <c r="F61" i="15"/>
  <c r="E61" i="15"/>
  <c r="D61" i="15"/>
  <c r="G56" i="15"/>
  <c r="G60" i="15" s="1"/>
  <c r="G53" i="15"/>
  <c r="F53" i="15"/>
  <c r="E53" i="15"/>
  <c r="D53" i="15"/>
  <c r="G52" i="15"/>
  <c r="F52" i="15"/>
  <c r="F56" i="15" s="1"/>
  <c r="F60" i="15" s="1"/>
  <c r="E52" i="15"/>
  <c r="E56" i="15" s="1"/>
  <c r="E60" i="15" s="1"/>
  <c r="D52" i="15"/>
  <c r="D56" i="15" s="1"/>
  <c r="D60" i="15" s="1"/>
  <c r="G49" i="15"/>
  <c r="F49" i="15"/>
  <c r="E49" i="15"/>
  <c r="D49" i="15"/>
  <c r="G48" i="15"/>
  <c r="F48" i="15"/>
  <c r="E48" i="15"/>
  <c r="D48" i="15"/>
  <c r="G45" i="15"/>
  <c r="F45" i="15"/>
  <c r="E45" i="15"/>
  <c r="D45" i="15"/>
  <c r="G44" i="15"/>
  <c r="F44" i="15"/>
  <c r="E44" i="15"/>
  <c r="D44" i="15"/>
  <c r="C44" i="15"/>
  <c r="G41" i="15"/>
  <c r="F41" i="15"/>
  <c r="E41" i="15"/>
  <c r="D41" i="15"/>
  <c r="G40" i="15"/>
  <c r="F40" i="15"/>
  <c r="E40" i="15"/>
  <c r="D40" i="15"/>
  <c r="G715" i="23"/>
  <c r="G27" i="15"/>
  <c r="F27" i="15"/>
  <c r="E27" i="15"/>
  <c r="D27" i="15"/>
  <c r="G26" i="15"/>
  <c r="F26" i="15"/>
  <c r="E26" i="15"/>
  <c r="D26" i="15"/>
  <c r="C26" i="15"/>
  <c r="G21" i="15"/>
  <c r="F21" i="15"/>
  <c r="E21" i="15"/>
  <c r="D21" i="15"/>
  <c r="G20" i="15"/>
  <c r="F20" i="15"/>
  <c r="E20" i="15"/>
  <c r="D20" i="15"/>
  <c r="G19" i="15"/>
  <c r="G22" i="15" s="1"/>
  <c r="F19" i="15"/>
  <c r="F22" i="15" s="1"/>
  <c r="E19" i="15"/>
  <c r="E22" i="15" s="1"/>
  <c r="D19" i="15"/>
  <c r="D22" i="15" s="1"/>
  <c r="C19" i="15"/>
  <c r="G16" i="15"/>
  <c r="E16" i="15"/>
  <c r="H15" i="15"/>
  <c r="G15" i="15"/>
  <c r="F15" i="15"/>
  <c r="E15" i="15"/>
  <c r="D15" i="15"/>
  <c r="G11" i="15"/>
  <c r="F11" i="15"/>
  <c r="F16" i="15" s="1"/>
  <c r="E11" i="15"/>
  <c r="D11" i="15"/>
  <c r="D16" i="15" s="1"/>
  <c r="G10" i="15"/>
  <c r="F10" i="15"/>
  <c r="E10" i="15"/>
  <c r="D10" i="15"/>
  <c r="R6" i="15"/>
  <c r="Q6" i="15"/>
  <c r="P6" i="15"/>
  <c r="O6" i="15"/>
  <c r="N6" i="15"/>
  <c r="M6" i="15"/>
  <c r="L6" i="15"/>
  <c r="K6" i="15"/>
  <c r="J6" i="15"/>
  <c r="I6" i="15"/>
  <c r="H6" i="15"/>
  <c r="G6" i="15"/>
  <c r="F6" i="15"/>
  <c r="E6" i="15"/>
  <c r="D6" i="15"/>
  <c r="C6" i="15"/>
  <c r="G4" i="33"/>
  <c r="F4" i="33"/>
  <c r="E4" i="33"/>
  <c r="D4" i="33"/>
  <c r="C4" i="33"/>
  <c r="I9" i="33"/>
  <c r="H9" i="33"/>
  <c r="G9" i="33"/>
  <c r="F9" i="33"/>
  <c r="E9" i="33"/>
  <c r="D9" i="33"/>
  <c r="C9" i="33"/>
  <c r="I3" i="33"/>
  <c r="H3" i="33"/>
  <c r="G3" i="33"/>
  <c r="F3" i="33"/>
  <c r="E3" i="33"/>
  <c r="D3" i="33"/>
  <c r="C3" i="33"/>
  <c r="B27" i="33"/>
  <c r="C26" i="33"/>
  <c r="C32" i="33" s="1"/>
  <c r="B26" i="33"/>
  <c r="B32" i="33" s="1"/>
  <c r="B19" i="33"/>
  <c r="C18" i="33"/>
  <c r="C27" i="33" s="1"/>
  <c r="C37" i="33" s="1"/>
  <c r="G14" i="33"/>
  <c r="F14" i="33"/>
  <c r="E14" i="33"/>
  <c r="D14" i="33"/>
  <c r="C14" i="33"/>
  <c r="E26" i="33"/>
  <c r="C10" i="33"/>
  <c r="B10" i="33"/>
  <c r="G19" i="33"/>
  <c r="F19" i="33"/>
  <c r="E19" i="33"/>
  <c r="D19" i="33"/>
  <c r="C19" i="33"/>
  <c r="G6" i="33" l="1"/>
  <c r="D6" i="33"/>
  <c r="E6" i="33"/>
  <c r="C12" i="33"/>
  <c r="C6" i="33"/>
  <c r="F6" i="33"/>
  <c r="C28" i="33"/>
  <c r="C33" i="33"/>
  <c r="C36" i="33" s="1"/>
  <c r="C38" i="33" s="1"/>
  <c r="C16" i="33"/>
  <c r="C20" i="33"/>
  <c r="D26" i="33"/>
  <c r="C34" i="33" l="1"/>
  <c r="C40" i="33" s="1"/>
  <c r="C22" i="33"/>
  <c r="F26" i="33"/>
  <c r="G26" i="33"/>
  <c r="F10" i="32" l="1"/>
  <c r="O21" i="32"/>
  <c r="P21" i="32"/>
  <c r="N21" i="32"/>
  <c r="M21" i="32"/>
  <c r="H117" i="11"/>
  <c r="G117" i="11"/>
  <c r="F117" i="11"/>
  <c r="E117" i="11"/>
  <c r="D117" i="11"/>
  <c r="H97" i="11"/>
  <c r="G97" i="11"/>
  <c r="F97" i="11"/>
  <c r="E97" i="11"/>
  <c r="H92" i="11"/>
  <c r="G92" i="11"/>
  <c r="F92" i="11"/>
  <c r="E92" i="11"/>
  <c r="I559" i="23"/>
  <c r="J559" i="23" s="1"/>
  <c r="K559" i="23" s="1"/>
  <c r="L559" i="23" s="1"/>
  <c r="M559" i="23" s="1"/>
  <c r="R6" i="18"/>
  <c r="Q6" i="18"/>
  <c r="P6" i="18"/>
  <c r="O6" i="18"/>
  <c r="N6" i="18"/>
  <c r="O6" i="29"/>
  <c r="P6" i="29" s="1"/>
  <c r="Q6" i="29" s="1"/>
  <c r="R6" i="29" s="1"/>
  <c r="S6" i="29" s="1"/>
  <c r="S112" i="13"/>
  <c r="R112" i="13"/>
  <c r="Q112" i="13"/>
  <c r="P112" i="13"/>
  <c r="O112" i="13"/>
  <c r="O89" i="13"/>
  <c r="P89" i="13" s="1"/>
  <c r="P86" i="13"/>
  <c r="Q86" i="13" s="1"/>
  <c r="R86" i="13" s="1"/>
  <c r="S86" i="13" s="1"/>
  <c r="O86" i="13"/>
  <c r="Q85" i="13"/>
  <c r="R85" i="13" s="1"/>
  <c r="S85" i="13" s="1"/>
  <c r="P85" i="13"/>
  <c r="O85" i="13"/>
  <c r="O84" i="13"/>
  <c r="P84" i="13" s="1"/>
  <c r="Q84" i="13" s="1"/>
  <c r="R84" i="13" s="1"/>
  <c r="S84" i="13" s="1"/>
  <c r="O83" i="13"/>
  <c r="P83" i="13" s="1"/>
  <c r="O79" i="13"/>
  <c r="P79" i="13" s="1"/>
  <c r="Q79" i="13" s="1"/>
  <c r="R79" i="13" s="1"/>
  <c r="S79" i="13" s="1"/>
  <c r="O78" i="13"/>
  <c r="P78" i="13" s="1"/>
  <c r="Q78" i="13" s="1"/>
  <c r="R78" i="13" s="1"/>
  <c r="S78" i="13" s="1"/>
  <c r="P77" i="13"/>
  <c r="Q77" i="13" s="1"/>
  <c r="R77" i="13" s="1"/>
  <c r="S77" i="13" s="1"/>
  <c r="O77" i="13"/>
  <c r="Q76" i="13"/>
  <c r="R76" i="13" s="1"/>
  <c r="S76" i="13" s="1"/>
  <c r="P76" i="13"/>
  <c r="O76" i="13"/>
  <c r="O75" i="13"/>
  <c r="P75" i="13" s="1"/>
  <c r="Q75" i="13" s="1"/>
  <c r="R75" i="13" s="1"/>
  <c r="S75" i="13" s="1"/>
  <c r="O74" i="13"/>
  <c r="P74" i="13" s="1"/>
  <c r="Q74" i="13" s="1"/>
  <c r="R74" i="13" s="1"/>
  <c r="S74" i="13" s="1"/>
  <c r="P73" i="13"/>
  <c r="Q73" i="13" s="1"/>
  <c r="R73" i="13" s="1"/>
  <c r="S73" i="13" s="1"/>
  <c r="O73" i="13"/>
  <c r="Q72" i="13"/>
  <c r="R72" i="13" s="1"/>
  <c r="S72" i="13" s="1"/>
  <c r="P72" i="13"/>
  <c r="O72" i="13"/>
  <c r="O66" i="13"/>
  <c r="P66" i="13" s="1"/>
  <c r="P6" i="13"/>
  <c r="Q6" i="13" s="1"/>
  <c r="R6" i="13" s="1"/>
  <c r="S6" i="13" s="1"/>
  <c r="O6" i="13"/>
  <c r="S551" i="23"/>
  <c r="T551" i="23" s="1"/>
  <c r="U551" i="23" s="1"/>
  <c r="V551" i="23" s="1"/>
  <c r="R551" i="23"/>
  <c r="R134" i="6"/>
  <c r="S85" i="11" s="1"/>
  <c r="Q134" i="6"/>
  <c r="R85" i="11" s="1"/>
  <c r="P134" i="6"/>
  <c r="Q85" i="11" s="1"/>
  <c r="O134" i="6"/>
  <c r="P85" i="11" s="1"/>
  <c r="N134" i="6"/>
  <c r="O85" i="11" s="1"/>
  <c r="R125" i="6"/>
  <c r="S152" i="11" s="1"/>
  <c r="Q125" i="6"/>
  <c r="R152" i="11" s="1"/>
  <c r="P125" i="6"/>
  <c r="Q152" i="11" s="1"/>
  <c r="O125" i="6"/>
  <c r="P152" i="11" s="1"/>
  <c r="N125" i="6"/>
  <c r="O152" i="11" s="1"/>
  <c r="R117" i="6"/>
  <c r="S121" i="11" s="1"/>
  <c r="Q117" i="6"/>
  <c r="R121" i="11" s="1"/>
  <c r="P117" i="6"/>
  <c r="Q121" i="11" s="1"/>
  <c r="O117" i="6"/>
  <c r="P121" i="11" s="1"/>
  <c r="N117" i="6"/>
  <c r="O121" i="11" s="1"/>
  <c r="R109" i="6"/>
  <c r="S143" i="11" s="1"/>
  <c r="Q109" i="6"/>
  <c r="R143" i="11" s="1"/>
  <c r="P109" i="6"/>
  <c r="Q143" i="11" s="1"/>
  <c r="O109" i="6"/>
  <c r="P143" i="11" s="1"/>
  <c r="N109" i="6"/>
  <c r="O143" i="11" s="1"/>
  <c r="R101" i="6"/>
  <c r="Q101" i="6"/>
  <c r="P101" i="6"/>
  <c r="O101" i="6"/>
  <c r="N101" i="6"/>
  <c r="R93" i="6"/>
  <c r="S65" i="11" s="1"/>
  <c r="Q93" i="6"/>
  <c r="R65" i="11" s="1"/>
  <c r="P93" i="6"/>
  <c r="Q65" i="11" s="1"/>
  <c r="O93" i="6"/>
  <c r="P65" i="11" s="1"/>
  <c r="N93" i="6"/>
  <c r="O65" i="11" s="1"/>
  <c r="R87" i="6"/>
  <c r="S61" i="11" s="1"/>
  <c r="Q87" i="6"/>
  <c r="R61" i="11" s="1"/>
  <c r="P87" i="6"/>
  <c r="Q61" i="11" s="1"/>
  <c r="O87" i="6"/>
  <c r="P61" i="11" s="1"/>
  <c r="N87" i="6"/>
  <c r="O61" i="11" s="1"/>
  <c r="R81" i="6"/>
  <c r="S57" i="11" s="1"/>
  <c r="Q81" i="6"/>
  <c r="R57" i="11" s="1"/>
  <c r="P81" i="6"/>
  <c r="Q57" i="11" s="1"/>
  <c r="O81" i="6"/>
  <c r="P57" i="11" s="1"/>
  <c r="N81" i="6"/>
  <c r="O57" i="11" s="1"/>
  <c r="P73" i="6"/>
  <c r="P75" i="6" s="1"/>
  <c r="Q53" i="11" s="1"/>
  <c r="R72" i="6"/>
  <c r="R73" i="6" s="1"/>
  <c r="Q72" i="6"/>
  <c r="Q73" i="6" s="1"/>
  <c r="P72" i="6"/>
  <c r="O72" i="6"/>
  <c r="O73" i="6" s="1"/>
  <c r="N72" i="6"/>
  <c r="N73" i="6" s="1"/>
  <c r="R61" i="6"/>
  <c r="S43" i="11" s="1"/>
  <c r="Q61" i="6"/>
  <c r="R43" i="11" s="1"/>
  <c r="P61" i="6"/>
  <c r="Q43" i="11" s="1"/>
  <c r="O61" i="6"/>
  <c r="P43" i="11" s="1"/>
  <c r="N61" i="6"/>
  <c r="O43" i="11" s="1"/>
  <c r="R53" i="6"/>
  <c r="S37" i="11" s="1"/>
  <c r="Q53" i="6"/>
  <c r="R37" i="11" s="1"/>
  <c r="P53" i="6"/>
  <c r="Q37" i="11" s="1"/>
  <c r="O53" i="6"/>
  <c r="P37" i="11" s="1"/>
  <c r="N53" i="6"/>
  <c r="O37" i="11" s="1"/>
  <c r="R47" i="6"/>
  <c r="S33" i="11" s="1"/>
  <c r="Q47" i="6"/>
  <c r="R33" i="11" s="1"/>
  <c r="P47" i="6"/>
  <c r="Q33" i="11" s="1"/>
  <c r="O47" i="6"/>
  <c r="P33" i="11" s="1"/>
  <c r="N47" i="6"/>
  <c r="O33" i="11" s="1"/>
  <c r="R41" i="6"/>
  <c r="S29" i="11" s="1"/>
  <c r="Q41" i="6"/>
  <c r="R29" i="11" s="1"/>
  <c r="P41" i="6"/>
  <c r="Q29" i="11" s="1"/>
  <c r="O41" i="6"/>
  <c r="P29" i="11" s="1"/>
  <c r="N41" i="6"/>
  <c r="O29" i="11" s="1"/>
  <c r="R35" i="6"/>
  <c r="S25" i="11" s="1"/>
  <c r="Q35" i="6"/>
  <c r="R25" i="11" s="1"/>
  <c r="P35" i="6"/>
  <c r="Q25" i="11" s="1"/>
  <c r="O35" i="6"/>
  <c r="P25" i="11" s="1"/>
  <c r="N35" i="6"/>
  <c r="O25" i="11" s="1"/>
  <c r="R25" i="6"/>
  <c r="R27" i="6" s="1"/>
  <c r="S20" i="11" s="1"/>
  <c r="Q25" i="6"/>
  <c r="Q27" i="6" s="1"/>
  <c r="R20" i="11" s="1"/>
  <c r="P25" i="6"/>
  <c r="P27" i="6" s="1"/>
  <c r="Q20" i="11" s="1"/>
  <c r="O25" i="6"/>
  <c r="O27" i="6" s="1"/>
  <c r="P20" i="11" s="1"/>
  <c r="N25" i="6"/>
  <c r="N27" i="6" s="1"/>
  <c r="O20" i="11" s="1"/>
  <c r="N24" i="6"/>
  <c r="O24" i="6" s="1"/>
  <c r="Q24" i="6" s="1"/>
  <c r="R24" i="6" s="1"/>
  <c r="N22" i="6"/>
  <c r="O22" i="6" s="1"/>
  <c r="Q22" i="6" s="1"/>
  <c r="R22" i="6" s="1"/>
  <c r="R17" i="6"/>
  <c r="S13" i="11" s="1"/>
  <c r="Q17" i="6"/>
  <c r="R13" i="11" s="1"/>
  <c r="P17" i="6"/>
  <c r="Q13" i="11" s="1"/>
  <c r="O17" i="6"/>
  <c r="P13" i="11" s="1"/>
  <c r="N17" i="6"/>
  <c r="O13" i="11" s="1"/>
  <c r="N7" i="6"/>
  <c r="O7" i="6" s="1"/>
  <c r="P7" i="6" s="1"/>
  <c r="Q7" i="6" s="1"/>
  <c r="R7" i="6" s="1"/>
  <c r="G18" i="32"/>
  <c r="D18" i="32"/>
  <c r="G17" i="32"/>
  <c r="G15" i="32"/>
  <c r="D15" i="32"/>
  <c r="D17" i="32" s="1"/>
  <c r="G14" i="32"/>
  <c r="D14" i="32"/>
  <c r="Q89" i="13" l="1"/>
  <c r="Q66" i="13"/>
  <c r="Q83" i="13"/>
  <c r="P104" i="13"/>
  <c r="O104" i="13"/>
  <c r="N74" i="6"/>
  <c r="N75" i="6"/>
  <c r="O53" i="11" s="1"/>
  <c r="O74" i="6"/>
  <c r="O75" i="6"/>
  <c r="P53" i="11" s="1"/>
  <c r="Q75" i="6"/>
  <c r="R53" i="11" s="1"/>
  <c r="Q74" i="6"/>
  <c r="R74" i="6"/>
  <c r="R75" i="6"/>
  <c r="S53" i="11" s="1"/>
  <c r="P74" i="6"/>
  <c r="B62" i="18"/>
  <c r="B61" i="18"/>
  <c r="B59" i="18"/>
  <c r="B58" i="18"/>
  <c r="C40" i="18"/>
  <c r="C58" i="18" s="1"/>
  <c r="F14" i="31"/>
  <c r="E14" i="31"/>
  <c r="R66" i="13" l="1"/>
  <c r="R89" i="13"/>
  <c r="R83" i="13"/>
  <c r="Q104" i="13"/>
  <c r="I64" i="31"/>
  <c r="G66" i="31" s="1"/>
  <c r="I63" i="31"/>
  <c r="G65" i="31" s="1"/>
  <c r="I62" i="31"/>
  <c r="G64" i="31" s="1"/>
  <c r="I61" i="31"/>
  <c r="G63" i="31" s="1"/>
  <c r="I60" i="31"/>
  <c r="G62" i="31" s="1"/>
  <c r="I59" i="31"/>
  <c r="J69" i="31"/>
  <c r="H69" i="31"/>
  <c r="J68" i="31"/>
  <c r="H68" i="31"/>
  <c r="G49" i="31"/>
  <c r="G46" i="31"/>
  <c r="J53" i="31"/>
  <c r="I53" i="31"/>
  <c r="H53" i="31"/>
  <c r="J52" i="31"/>
  <c r="I52" i="31"/>
  <c r="H52" i="31"/>
  <c r="G50" i="31"/>
  <c r="G48" i="31"/>
  <c r="G47" i="31"/>
  <c r="G45" i="31"/>
  <c r="S89" i="13" l="1"/>
  <c r="R104" i="13"/>
  <c r="S83" i="13"/>
  <c r="S66" i="13"/>
  <c r="I69" i="31"/>
  <c r="G61" i="31"/>
  <c r="I68" i="31"/>
  <c r="G54" i="31"/>
  <c r="G55" i="31"/>
  <c r="S104" i="13" l="1"/>
  <c r="G71" i="31"/>
  <c r="G70" i="31"/>
  <c r="D10" i="31" l="1"/>
  <c r="E10" i="31" s="1"/>
  <c r="F10" i="31" s="1"/>
  <c r="C14" i="28"/>
  <c r="E9" i="31"/>
  <c r="F9" i="31" s="1"/>
  <c r="B41" i="31"/>
  <c r="D19" i="31"/>
  <c r="E19" i="31" s="1"/>
  <c r="F19" i="31" s="1"/>
  <c r="D18" i="31"/>
  <c r="E18" i="31" s="1"/>
  <c r="F18" i="31" s="1"/>
  <c r="F15" i="31"/>
  <c r="E15" i="31"/>
  <c r="D15" i="31"/>
  <c r="B9" i="28"/>
  <c r="B2" i="31"/>
  <c r="C15" i="28"/>
  <c r="E22" i="31" s="1"/>
  <c r="C10" i="28"/>
  <c r="D7" i="31" s="1"/>
  <c r="C9" i="28"/>
  <c r="F11" i="31" l="1"/>
  <c r="E11" i="31"/>
  <c r="F20" i="31"/>
  <c r="D20" i="31"/>
  <c r="E20" i="31"/>
  <c r="D22" i="31"/>
  <c r="F22" i="31"/>
  <c r="D9" i="31"/>
  <c r="E7" i="31"/>
  <c r="D8" i="31"/>
  <c r="E8" i="31" s="1"/>
  <c r="K795" i="23"/>
  <c r="J795" i="23"/>
  <c r="I795" i="23"/>
  <c r="H795" i="23"/>
  <c r="G795" i="23"/>
  <c r="F795" i="23"/>
  <c r="E795" i="23"/>
  <c r="D795" i="23"/>
  <c r="C795" i="23"/>
  <c r="K794" i="23"/>
  <c r="J794" i="23"/>
  <c r="I794" i="23"/>
  <c r="H794" i="23"/>
  <c r="G794" i="23"/>
  <c r="F794" i="23"/>
  <c r="E794" i="23"/>
  <c r="D794" i="23"/>
  <c r="C794" i="23"/>
  <c r="Q793" i="23"/>
  <c r="P793" i="23"/>
  <c r="O793" i="23"/>
  <c r="N793" i="23"/>
  <c r="M793" i="23"/>
  <c r="L793" i="23"/>
  <c r="K793" i="23"/>
  <c r="J793" i="23"/>
  <c r="I793" i="23"/>
  <c r="H793" i="23"/>
  <c r="G793" i="23"/>
  <c r="F793" i="23"/>
  <c r="E793" i="23"/>
  <c r="D793" i="23"/>
  <c r="C793" i="23"/>
  <c r="B89" i="29"/>
  <c r="B86" i="29"/>
  <c r="B85" i="29"/>
  <c r="B84" i="29"/>
  <c r="B83" i="29"/>
  <c r="B79" i="29"/>
  <c r="B78" i="29"/>
  <c r="B77" i="29"/>
  <c r="B76" i="29"/>
  <c r="B75" i="29"/>
  <c r="B74" i="29"/>
  <c r="B73" i="29"/>
  <c r="B72" i="29"/>
  <c r="B20" i="29"/>
  <c r="B19" i="29"/>
  <c r="B18" i="29"/>
  <c r="B17" i="29"/>
  <c r="H6" i="29"/>
  <c r="I6" i="29" s="1"/>
  <c r="J6" i="29" s="1"/>
  <c r="K6" i="29" s="1"/>
  <c r="L6" i="29" s="1"/>
  <c r="M6" i="29" s="1"/>
  <c r="N6" i="29" s="1"/>
  <c r="G6" i="29"/>
  <c r="F6" i="29"/>
  <c r="E6" i="29"/>
  <c r="D6" i="29"/>
  <c r="B2" i="29"/>
  <c r="B101" i="6"/>
  <c r="B2" i="15"/>
  <c r="B2" i="13"/>
  <c r="B4" i="11"/>
  <c r="B2" i="6"/>
  <c r="E8" i="32" l="1"/>
  <c r="G16" i="32" s="1"/>
  <c r="G19" i="32" s="1"/>
  <c r="C30" i="18"/>
  <c r="D11" i="31"/>
  <c r="D12" i="31" s="1"/>
  <c r="D16" i="31" s="1"/>
  <c r="D23" i="31" s="1"/>
  <c r="H11" i="31"/>
  <c r="F8" i="31"/>
  <c r="H16" i="31"/>
  <c r="E12" i="31"/>
  <c r="E16" i="31" s="1"/>
  <c r="E23" i="31" s="1"/>
  <c r="F7" i="31"/>
  <c r="N112" i="13"/>
  <c r="M112" i="13"/>
  <c r="L112" i="13"/>
  <c r="K112" i="13"/>
  <c r="K14" i="26"/>
  <c r="J14" i="26"/>
  <c r="I14" i="26"/>
  <c r="F110" i="13" s="1"/>
  <c r="H14" i="26"/>
  <c r="E110" i="13" s="1"/>
  <c r="G14" i="26"/>
  <c r="D110" i="13" s="1"/>
  <c r="H122" i="13"/>
  <c r="G122" i="13"/>
  <c r="F122" i="13"/>
  <c r="E122" i="13"/>
  <c r="D123" i="13"/>
  <c r="D122" i="13"/>
  <c r="H117" i="13"/>
  <c r="H116" i="13"/>
  <c r="G116" i="13"/>
  <c r="F116" i="13"/>
  <c r="E116" i="13"/>
  <c r="D116" i="13"/>
  <c r="E108" i="13"/>
  <c r="D19" i="18" s="1"/>
  <c r="G110" i="13"/>
  <c r="H110" i="13"/>
  <c r="D111" i="13"/>
  <c r="E111" i="13"/>
  <c r="F111" i="13"/>
  <c r="G111" i="13"/>
  <c r="H111" i="13"/>
  <c r="G112" i="13"/>
  <c r="B117" i="13"/>
  <c r="B116" i="13"/>
  <c r="B115" i="13"/>
  <c r="B112" i="13"/>
  <c r="B111" i="13"/>
  <c r="B110" i="13"/>
  <c r="B109" i="13"/>
  <c r="B108" i="13"/>
  <c r="H103" i="13"/>
  <c r="B105" i="13"/>
  <c r="B104" i="13"/>
  <c r="B103" i="13"/>
  <c r="B102" i="13"/>
  <c r="D2" i="26"/>
  <c r="E2" i="26" s="1"/>
  <c r="F2" i="26" s="1"/>
  <c r="C5" i="26"/>
  <c r="D5" i="26"/>
  <c r="E5" i="26"/>
  <c r="F5" i="26"/>
  <c r="C6" i="26"/>
  <c r="D6" i="26"/>
  <c r="E6" i="26"/>
  <c r="F6" i="26"/>
  <c r="D7" i="26"/>
  <c r="E7" i="26"/>
  <c r="F7" i="26"/>
  <c r="D12" i="26"/>
  <c r="E12" i="26"/>
  <c r="F12" i="26"/>
  <c r="D14" i="26"/>
  <c r="E14" i="26"/>
  <c r="F14" i="26"/>
  <c r="D16" i="26"/>
  <c r="E16" i="26"/>
  <c r="F16" i="26"/>
  <c r="D20" i="26"/>
  <c r="E20" i="26"/>
  <c r="F20" i="26"/>
  <c r="C22" i="26"/>
  <c r="C23" i="26" s="1"/>
  <c r="C25" i="26" s="1"/>
  <c r="D22" i="26"/>
  <c r="E22" i="26"/>
  <c r="F22" i="26"/>
  <c r="H124" i="11"/>
  <c r="G124" i="11"/>
  <c r="F124" i="11"/>
  <c r="E124" i="11"/>
  <c r="D124" i="11"/>
  <c r="K22" i="26"/>
  <c r="J22" i="26"/>
  <c r="I22" i="26"/>
  <c r="F117" i="13" s="1"/>
  <c r="H22" i="26"/>
  <c r="E117" i="13" s="1"/>
  <c r="G22" i="26"/>
  <c r="D117" i="13" s="1"/>
  <c r="K20" i="26"/>
  <c r="H115" i="13" s="1"/>
  <c r="J20" i="26"/>
  <c r="G115" i="13" s="1"/>
  <c r="I20" i="26"/>
  <c r="F115" i="13" s="1"/>
  <c r="H20" i="26"/>
  <c r="E115" i="13" s="1"/>
  <c r="G20" i="26"/>
  <c r="D115" i="13" s="1"/>
  <c r="K16" i="26"/>
  <c r="H112" i="13" s="1"/>
  <c r="J16" i="26"/>
  <c r="I16" i="26"/>
  <c r="F112" i="13" s="1"/>
  <c r="H16" i="26"/>
  <c r="E112" i="13" s="1"/>
  <c r="G16" i="26"/>
  <c r="D112" i="13" s="1"/>
  <c r="K12" i="26"/>
  <c r="H108" i="13" s="1"/>
  <c r="G19" i="18" s="1"/>
  <c r="J12" i="26"/>
  <c r="G108" i="13" s="1"/>
  <c r="F19" i="18" s="1"/>
  <c r="I12" i="26"/>
  <c r="F108" i="13" s="1"/>
  <c r="E19" i="18" s="1"/>
  <c r="H12" i="26"/>
  <c r="G12" i="26"/>
  <c r="D108" i="13" s="1"/>
  <c r="C19" i="18" s="1"/>
  <c r="K7" i="26"/>
  <c r="H104" i="13" s="1"/>
  <c r="J7" i="26"/>
  <c r="G104" i="13" s="1"/>
  <c r="I7" i="26"/>
  <c r="F104" i="13" s="1"/>
  <c r="H7" i="26"/>
  <c r="E104" i="13" s="1"/>
  <c r="G7" i="26"/>
  <c r="D104" i="13" s="1"/>
  <c r="K6" i="26"/>
  <c r="J6" i="26"/>
  <c r="G103" i="13" s="1"/>
  <c r="I6" i="26"/>
  <c r="F103" i="13" s="1"/>
  <c r="H6" i="26"/>
  <c r="E103" i="13" s="1"/>
  <c r="G6" i="26"/>
  <c r="D103" i="13" s="1"/>
  <c r="K5" i="26"/>
  <c r="H102" i="13" s="1"/>
  <c r="J5" i="26"/>
  <c r="G102" i="13" s="1"/>
  <c r="I5" i="26"/>
  <c r="F102" i="13" s="1"/>
  <c r="H5" i="26"/>
  <c r="E102" i="13" s="1"/>
  <c r="G5" i="26"/>
  <c r="D102" i="13" s="1"/>
  <c r="I80" i="11"/>
  <c r="F12" i="31" l="1"/>
  <c r="F16" i="31" s="1"/>
  <c r="F23" i="31" s="1"/>
  <c r="H6" i="31"/>
  <c r="D24" i="31"/>
  <c r="E24" i="31"/>
  <c r="C23" i="18" s="1"/>
  <c r="J23" i="26"/>
  <c r="F23" i="26"/>
  <c r="E23" i="26"/>
  <c r="D23" i="26"/>
  <c r="G117" i="13"/>
  <c r="G118" i="13" s="1"/>
  <c r="F118" i="13"/>
  <c r="D124" i="13"/>
  <c r="E118" i="13"/>
  <c r="H118" i="13"/>
  <c r="D118" i="13"/>
  <c r="K23" i="26"/>
  <c r="G23" i="26"/>
  <c r="H23" i="26"/>
  <c r="I23" i="26"/>
  <c r="K790" i="23"/>
  <c r="J790" i="23"/>
  <c r="I790" i="23"/>
  <c r="H790" i="23"/>
  <c r="G790" i="23"/>
  <c r="F790" i="23"/>
  <c r="E790" i="23"/>
  <c r="D790" i="23"/>
  <c r="C790" i="23"/>
  <c r="C791" i="23" s="1"/>
  <c r="K787" i="23"/>
  <c r="J787" i="23"/>
  <c r="I787" i="23"/>
  <c r="H787" i="23"/>
  <c r="G787" i="23"/>
  <c r="F787" i="23"/>
  <c r="E787" i="23"/>
  <c r="D787" i="23"/>
  <c r="C787" i="23"/>
  <c r="L785" i="23"/>
  <c r="M785" i="23" s="1"/>
  <c r="N785" i="23" s="1"/>
  <c r="O785" i="23" s="1"/>
  <c r="P785" i="23" s="1"/>
  <c r="Q785" i="23" s="1"/>
  <c r="K786" i="23"/>
  <c r="J786" i="23"/>
  <c r="I786" i="23"/>
  <c r="H786" i="23"/>
  <c r="H791" i="23" s="1"/>
  <c r="G786" i="23"/>
  <c r="F786" i="23"/>
  <c r="E786" i="23"/>
  <c r="D786" i="23"/>
  <c r="C786" i="23"/>
  <c r="G2" i="26"/>
  <c r="H2" i="26" s="1"/>
  <c r="I2" i="26" s="1"/>
  <c r="J2" i="26" s="1"/>
  <c r="K2" i="26" s="1"/>
  <c r="H67" i="13"/>
  <c r="G67" i="13"/>
  <c r="F67" i="13"/>
  <c r="E67" i="13"/>
  <c r="D67" i="13"/>
  <c r="K63" i="25"/>
  <c r="J63" i="25"/>
  <c r="I63" i="25"/>
  <c r="H63" i="25"/>
  <c r="G63" i="25"/>
  <c r="F63" i="25"/>
  <c r="E63" i="25"/>
  <c r="D63" i="25"/>
  <c r="C63" i="25"/>
  <c r="H89" i="13"/>
  <c r="I89" i="13" s="1"/>
  <c r="J89" i="13" s="1"/>
  <c r="K89" i="13" s="1"/>
  <c r="L89" i="13" s="1"/>
  <c r="M89" i="13" s="1"/>
  <c r="N89" i="13" s="1"/>
  <c r="G89" i="13"/>
  <c r="F89" i="13"/>
  <c r="E89" i="13"/>
  <c r="D89" i="13"/>
  <c r="B89" i="13"/>
  <c r="H86" i="13"/>
  <c r="I86" i="13" s="1"/>
  <c r="J86" i="13" s="1"/>
  <c r="K86" i="13" s="1"/>
  <c r="L86" i="13" s="1"/>
  <c r="M86" i="13" s="1"/>
  <c r="N86" i="13" s="1"/>
  <c r="G86" i="13"/>
  <c r="F86" i="13"/>
  <c r="E86" i="13"/>
  <c r="H85" i="13"/>
  <c r="I85" i="13" s="1"/>
  <c r="J85" i="13" s="1"/>
  <c r="K85" i="13" s="1"/>
  <c r="L85" i="13" s="1"/>
  <c r="M85" i="13" s="1"/>
  <c r="N85" i="13" s="1"/>
  <c r="G85" i="13"/>
  <c r="F85" i="13"/>
  <c r="E85" i="13"/>
  <c r="H84" i="13"/>
  <c r="I84" i="13" s="1"/>
  <c r="J84" i="13" s="1"/>
  <c r="K84" i="13" s="1"/>
  <c r="L84" i="13" s="1"/>
  <c r="M84" i="13" s="1"/>
  <c r="N84" i="13" s="1"/>
  <c r="G84" i="13"/>
  <c r="F84" i="13"/>
  <c r="E84" i="13"/>
  <c r="H83" i="13"/>
  <c r="I83" i="13" s="1"/>
  <c r="G83" i="13"/>
  <c r="F83" i="13"/>
  <c r="E83" i="13"/>
  <c r="D86" i="13"/>
  <c r="D85" i="13"/>
  <c r="D84" i="13"/>
  <c r="D83" i="13"/>
  <c r="B86" i="13"/>
  <c r="B85" i="13"/>
  <c r="B84" i="13"/>
  <c r="B83" i="13"/>
  <c r="K779" i="23"/>
  <c r="J779" i="23"/>
  <c r="I779" i="23"/>
  <c r="H779" i="23"/>
  <c r="G779" i="23"/>
  <c r="F779" i="23"/>
  <c r="E779" i="23"/>
  <c r="D779" i="23"/>
  <c r="C779" i="23"/>
  <c r="K775" i="23"/>
  <c r="J775" i="23"/>
  <c r="I775" i="23"/>
  <c r="H775" i="23"/>
  <c r="G775" i="23"/>
  <c r="F775" i="23"/>
  <c r="E775" i="23"/>
  <c r="D775" i="23"/>
  <c r="C775" i="23"/>
  <c r="K774" i="23"/>
  <c r="J774" i="23"/>
  <c r="I774" i="23"/>
  <c r="H774" i="23"/>
  <c r="G774" i="23"/>
  <c r="F774" i="23"/>
  <c r="E774" i="23"/>
  <c r="D774" i="23"/>
  <c r="C774" i="23"/>
  <c r="K773" i="23"/>
  <c r="J773" i="23"/>
  <c r="I773" i="23"/>
  <c r="H773" i="23"/>
  <c r="G773" i="23"/>
  <c r="F773" i="23"/>
  <c r="E773" i="23"/>
  <c r="D773" i="23"/>
  <c r="C773" i="23"/>
  <c r="K772" i="23"/>
  <c r="J772" i="23"/>
  <c r="I772" i="23"/>
  <c r="H772" i="23"/>
  <c r="G772" i="23"/>
  <c r="F772" i="23"/>
  <c r="E772" i="23"/>
  <c r="D772" i="23"/>
  <c r="C772" i="23"/>
  <c r="K771" i="23"/>
  <c r="J771" i="23"/>
  <c r="I771" i="23"/>
  <c r="H771" i="23"/>
  <c r="G771" i="23"/>
  <c r="F771" i="23"/>
  <c r="E771" i="23"/>
  <c r="D771" i="23"/>
  <c r="C771" i="23"/>
  <c r="K770" i="23"/>
  <c r="J770" i="23"/>
  <c r="I770" i="23"/>
  <c r="H770" i="23"/>
  <c r="G770" i="23"/>
  <c r="F770" i="23"/>
  <c r="E770" i="23"/>
  <c r="D770" i="23"/>
  <c r="C770" i="23"/>
  <c r="K769" i="23"/>
  <c r="J769" i="23"/>
  <c r="I769" i="23"/>
  <c r="H769" i="23"/>
  <c r="G769" i="23"/>
  <c r="F769" i="23"/>
  <c r="E769" i="23"/>
  <c r="D769" i="23"/>
  <c r="C769" i="23"/>
  <c r="K768" i="23"/>
  <c r="J768" i="23"/>
  <c r="I768" i="23"/>
  <c r="H768" i="23"/>
  <c r="G768" i="23"/>
  <c r="F768" i="23"/>
  <c r="E768" i="23"/>
  <c r="D768" i="23"/>
  <c r="C768" i="23"/>
  <c r="B775" i="23"/>
  <c r="B774" i="23"/>
  <c r="B773" i="23"/>
  <c r="B772" i="23"/>
  <c r="B771" i="23"/>
  <c r="B770" i="23"/>
  <c r="B769" i="23"/>
  <c r="B768" i="23"/>
  <c r="H79" i="13"/>
  <c r="G79" i="13"/>
  <c r="F79" i="13"/>
  <c r="E79" i="13"/>
  <c r="D79" i="13"/>
  <c r="H78" i="13"/>
  <c r="I78" i="13" s="1"/>
  <c r="J78" i="13" s="1"/>
  <c r="K78" i="13" s="1"/>
  <c r="L78" i="13" s="1"/>
  <c r="M78" i="13" s="1"/>
  <c r="N78" i="13" s="1"/>
  <c r="G78" i="13"/>
  <c r="F78" i="13"/>
  <c r="E78" i="13"/>
  <c r="D78" i="13"/>
  <c r="H77" i="13"/>
  <c r="I77" i="13" s="1"/>
  <c r="J77" i="13" s="1"/>
  <c r="K77" i="13" s="1"/>
  <c r="L77" i="13" s="1"/>
  <c r="M77" i="13" s="1"/>
  <c r="N77" i="13" s="1"/>
  <c r="G77" i="13"/>
  <c r="F77" i="13"/>
  <c r="E77" i="13"/>
  <c r="D77" i="13"/>
  <c r="H76" i="13"/>
  <c r="I76" i="13" s="1"/>
  <c r="J76" i="13" s="1"/>
  <c r="K76" i="13" s="1"/>
  <c r="L76" i="13" s="1"/>
  <c r="M76" i="13" s="1"/>
  <c r="N76" i="13" s="1"/>
  <c r="G76" i="13"/>
  <c r="F76" i="13"/>
  <c r="E76" i="13"/>
  <c r="D76" i="13"/>
  <c r="H75" i="13"/>
  <c r="I75" i="13" s="1"/>
  <c r="J75" i="13" s="1"/>
  <c r="K75" i="13" s="1"/>
  <c r="L75" i="13" s="1"/>
  <c r="M75" i="13" s="1"/>
  <c r="N75" i="13" s="1"/>
  <c r="G75" i="13"/>
  <c r="F75" i="13"/>
  <c r="E75" i="13"/>
  <c r="D75" i="13"/>
  <c r="H74" i="13"/>
  <c r="I74" i="13" s="1"/>
  <c r="J74" i="13" s="1"/>
  <c r="K74" i="13" s="1"/>
  <c r="L74" i="13" s="1"/>
  <c r="M74" i="13" s="1"/>
  <c r="N74" i="13" s="1"/>
  <c r="G74" i="13"/>
  <c r="F74" i="13"/>
  <c r="E74" i="13"/>
  <c r="D74" i="13"/>
  <c r="H73" i="13"/>
  <c r="I73" i="13" s="1"/>
  <c r="J73" i="13" s="1"/>
  <c r="K73" i="13" s="1"/>
  <c r="L73" i="13" s="1"/>
  <c r="M73" i="13" s="1"/>
  <c r="N73" i="13" s="1"/>
  <c r="G73" i="13"/>
  <c r="F73" i="13"/>
  <c r="E73" i="13"/>
  <c r="D73" i="13"/>
  <c r="H72" i="13"/>
  <c r="I72" i="13" s="1"/>
  <c r="J72" i="13" s="1"/>
  <c r="K72" i="13" s="1"/>
  <c r="L72" i="13" s="1"/>
  <c r="M72" i="13" s="1"/>
  <c r="N72" i="13" s="1"/>
  <c r="G72" i="13"/>
  <c r="F72" i="13"/>
  <c r="E72" i="13"/>
  <c r="D72" i="13"/>
  <c r="B79" i="13"/>
  <c r="B78" i="13"/>
  <c r="B77" i="13"/>
  <c r="B76" i="13"/>
  <c r="B75" i="13"/>
  <c r="B74" i="13"/>
  <c r="B73" i="13"/>
  <c r="B72" i="13"/>
  <c r="H66" i="13"/>
  <c r="G66" i="13"/>
  <c r="F66" i="13"/>
  <c r="E66" i="13"/>
  <c r="D66" i="13"/>
  <c r="B134" i="6"/>
  <c r="M134" i="6"/>
  <c r="N85" i="11" s="1"/>
  <c r="K754" i="23"/>
  <c r="K755" i="23" s="1"/>
  <c r="J754" i="23"/>
  <c r="J755" i="23" s="1"/>
  <c r="I754" i="23"/>
  <c r="H754" i="23"/>
  <c r="G754" i="23"/>
  <c r="F754" i="23"/>
  <c r="F755" i="23" s="1"/>
  <c r="F759" i="23" s="1"/>
  <c r="E754" i="23"/>
  <c r="E755" i="23" s="1"/>
  <c r="D754" i="23"/>
  <c r="D755" i="23" s="1"/>
  <c r="D757" i="23" s="1"/>
  <c r="C754" i="23"/>
  <c r="C755" i="23" s="1"/>
  <c r="C757" i="23" s="1"/>
  <c r="M101" i="6"/>
  <c r="M125" i="6"/>
  <c r="N152" i="11" s="1"/>
  <c r="B125" i="6"/>
  <c r="F24" i="31" l="1"/>
  <c r="I104" i="13"/>
  <c r="E788" i="23"/>
  <c r="F791" i="23"/>
  <c r="G791" i="23"/>
  <c r="I79" i="13"/>
  <c r="E123" i="13"/>
  <c r="E124" i="13" s="1"/>
  <c r="D47" i="13"/>
  <c r="J83" i="13"/>
  <c r="J104" i="13" s="1"/>
  <c r="F788" i="23"/>
  <c r="I791" i="23"/>
  <c r="G788" i="23"/>
  <c r="H788" i="23"/>
  <c r="C788" i="23"/>
  <c r="K788" i="23"/>
  <c r="I788" i="23"/>
  <c r="J791" i="23"/>
  <c r="D788" i="23"/>
  <c r="K791" i="23"/>
  <c r="E791" i="23"/>
  <c r="J788" i="23"/>
  <c r="D791" i="23"/>
  <c r="F776" i="23"/>
  <c r="F781" i="23" s="1"/>
  <c r="G776" i="23"/>
  <c r="H776" i="23"/>
  <c r="E776" i="23"/>
  <c r="I776" i="23"/>
  <c r="J776" i="23"/>
  <c r="C776" i="23"/>
  <c r="C781" i="23" s="1"/>
  <c r="K776" i="23"/>
  <c r="D776" i="23"/>
  <c r="I755" i="23"/>
  <c r="I757" i="23" s="1"/>
  <c r="J757" i="23"/>
  <c r="K757" i="23"/>
  <c r="E759" i="23"/>
  <c r="E757" i="23"/>
  <c r="J759" i="23"/>
  <c r="G755" i="23"/>
  <c r="G759" i="23" s="1"/>
  <c r="F757" i="23"/>
  <c r="C759" i="23"/>
  <c r="K759" i="23"/>
  <c r="H755" i="23"/>
  <c r="H759" i="23" s="1"/>
  <c r="D759" i="23"/>
  <c r="K734" i="23"/>
  <c r="K735" i="23" s="1"/>
  <c r="G122" i="6" s="1"/>
  <c r="H152" i="11" s="1"/>
  <c r="J734" i="23"/>
  <c r="J735" i="23" s="1"/>
  <c r="F122" i="6" s="1"/>
  <c r="I734" i="23"/>
  <c r="I735" i="23" s="1"/>
  <c r="E122" i="6" s="1"/>
  <c r="H734" i="23"/>
  <c r="H735" i="23" s="1"/>
  <c r="D122" i="6" s="1"/>
  <c r="G734" i="23"/>
  <c r="G735" i="23" s="1"/>
  <c r="C122" i="6" s="1"/>
  <c r="F734" i="23"/>
  <c r="F735" i="23" s="1"/>
  <c r="E734" i="23"/>
  <c r="E735" i="23" s="1"/>
  <c r="D734" i="23"/>
  <c r="D735" i="23" s="1"/>
  <c r="C734" i="23"/>
  <c r="C735" i="23" s="1"/>
  <c r="M117" i="6"/>
  <c r="N121" i="11" s="1"/>
  <c r="B117" i="6"/>
  <c r="B109" i="6"/>
  <c r="M109" i="6"/>
  <c r="N143" i="11" s="1"/>
  <c r="L117" i="6"/>
  <c r="M121" i="11" s="1"/>
  <c r="K117" i="6"/>
  <c r="L121" i="11" s="1"/>
  <c r="J117" i="6"/>
  <c r="K121" i="11" s="1"/>
  <c r="I117" i="6"/>
  <c r="J121" i="11" s="1"/>
  <c r="H117" i="6"/>
  <c r="I121" i="11" s="1"/>
  <c r="C18" i="25"/>
  <c r="K6" i="25"/>
  <c r="K5" i="25" s="1"/>
  <c r="K4" i="25" s="1"/>
  <c r="J6" i="25"/>
  <c r="J5" i="25" s="1"/>
  <c r="J4" i="25" s="1"/>
  <c r="I6" i="25"/>
  <c r="H6" i="25"/>
  <c r="H5" i="25" s="1"/>
  <c r="H4" i="25" s="1"/>
  <c r="G6" i="25"/>
  <c r="G5" i="25" s="1"/>
  <c r="G4" i="25" s="1"/>
  <c r="F6" i="25"/>
  <c r="E6" i="25"/>
  <c r="E5" i="25" s="1"/>
  <c r="E4" i="25" s="1"/>
  <c r="D6" i="25"/>
  <c r="D5" i="25" s="1"/>
  <c r="D4" i="25" s="1"/>
  <c r="C6" i="25"/>
  <c r="C5" i="25" s="1"/>
  <c r="C4" i="25" s="1"/>
  <c r="I5" i="25"/>
  <c r="I4" i="25" s="1"/>
  <c r="F5" i="25"/>
  <c r="F4" i="25" s="1"/>
  <c r="H116" i="11"/>
  <c r="G116" i="11"/>
  <c r="F116" i="11"/>
  <c r="E116" i="11"/>
  <c r="D116" i="11"/>
  <c r="H115" i="11"/>
  <c r="G115" i="11"/>
  <c r="F115" i="11"/>
  <c r="E115" i="11"/>
  <c r="D115" i="11"/>
  <c r="K702" i="23"/>
  <c r="J702" i="23"/>
  <c r="I702" i="23"/>
  <c r="H702" i="23"/>
  <c r="G702" i="23"/>
  <c r="F702" i="23"/>
  <c r="E702" i="23"/>
  <c r="D702" i="23"/>
  <c r="C702" i="23"/>
  <c r="K700" i="23"/>
  <c r="J700" i="23"/>
  <c r="I700" i="23"/>
  <c r="H700" i="23"/>
  <c r="G700" i="23"/>
  <c r="F700" i="23"/>
  <c r="E700" i="23"/>
  <c r="D700" i="23"/>
  <c r="C700" i="23"/>
  <c r="B702" i="23"/>
  <c r="B700" i="23"/>
  <c r="L675" i="23"/>
  <c r="K675" i="23"/>
  <c r="J675" i="23"/>
  <c r="I675" i="23"/>
  <c r="H675" i="23"/>
  <c r="G675" i="23"/>
  <c r="F675" i="23"/>
  <c r="E675" i="23"/>
  <c r="D675" i="23"/>
  <c r="C675" i="23"/>
  <c r="L674" i="23"/>
  <c r="K674" i="23"/>
  <c r="J674" i="23"/>
  <c r="I674" i="23"/>
  <c r="H674" i="23"/>
  <c r="G674" i="23"/>
  <c r="F674" i="23"/>
  <c r="E674" i="23"/>
  <c r="D674" i="23"/>
  <c r="C674" i="23"/>
  <c r="K664" i="23"/>
  <c r="J664" i="23"/>
  <c r="I664" i="23"/>
  <c r="H664" i="23"/>
  <c r="G664" i="23"/>
  <c r="F664" i="23"/>
  <c r="E664" i="23"/>
  <c r="D664" i="23"/>
  <c r="C664" i="23"/>
  <c r="K654" i="23"/>
  <c r="J654" i="23"/>
  <c r="I654" i="23"/>
  <c r="H654" i="23"/>
  <c r="G654" i="23"/>
  <c r="F654" i="23"/>
  <c r="E654" i="23"/>
  <c r="D654" i="23"/>
  <c r="C654" i="23"/>
  <c r="K651" i="23"/>
  <c r="J651" i="23"/>
  <c r="I651" i="23"/>
  <c r="H651" i="23"/>
  <c r="G651" i="23"/>
  <c r="F651" i="23"/>
  <c r="E651" i="23"/>
  <c r="D651" i="23"/>
  <c r="D656" i="23" s="1"/>
  <c r="D658" i="23" s="1"/>
  <c r="D669" i="23" s="1"/>
  <c r="C651" i="23"/>
  <c r="K47" i="25"/>
  <c r="J47" i="25"/>
  <c r="I47" i="25"/>
  <c r="H47" i="25"/>
  <c r="G47" i="25"/>
  <c r="F47" i="25"/>
  <c r="E47" i="25"/>
  <c r="D47" i="25"/>
  <c r="C47" i="25"/>
  <c r="K52" i="25"/>
  <c r="J52" i="25"/>
  <c r="I52" i="25"/>
  <c r="H52" i="25"/>
  <c r="G52" i="25"/>
  <c r="F52" i="25"/>
  <c r="E52" i="25"/>
  <c r="D52" i="25"/>
  <c r="C52" i="25"/>
  <c r="K44" i="25"/>
  <c r="J44" i="25"/>
  <c r="I44" i="25"/>
  <c r="H44" i="25"/>
  <c r="G44" i="25"/>
  <c r="F44" i="25"/>
  <c r="E44" i="25"/>
  <c r="D44" i="25"/>
  <c r="C44" i="25"/>
  <c r="E656" i="23" l="1"/>
  <c r="E658" i="23" s="1"/>
  <c r="E669" i="23" s="1"/>
  <c r="C789" i="23"/>
  <c r="G656" i="23"/>
  <c r="G658" i="23" s="1"/>
  <c r="G669" i="23" s="1"/>
  <c r="J79" i="13"/>
  <c r="K83" i="13"/>
  <c r="K104" i="13" s="1"/>
  <c r="F123" i="13"/>
  <c r="F124" i="13" s="1"/>
  <c r="E47" i="13"/>
  <c r="J784" i="23"/>
  <c r="F70" i="13"/>
  <c r="F135" i="11"/>
  <c r="G70" i="13"/>
  <c r="G135" i="11"/>
  <c r="D70" i="13"/>
  <c r="D135" i="11"/>
  <c r="H70" i="13"/>
  <c r="H135" i="11"/>
  <c r="E70" i="13"/>
  <c r="E135" i="11"/>
  <c r="F777" i="23"/>
  <c r="E704" i="23"/>
  <c r="E707" i="23" s="1"/>
  <c r="C704" i="23"/>
  <c r="C715" i="23" s="1"/>
  <c r="I701" i="23"/>
  <c r="J701" i="23"/>
  <c r="K781" i="23"/>
  <c r="H126" i="11" s="1"/>
  <c r="H125" i="11" s="1"/>
  <c r="K777" i="23"/>
  <c r="J781" i="23"/>
  <c r="G126" i="11" s="1"/>
  <c r="G125" i="11" s="1"/>
  <c r="J777" i="23"/>
  <c r="I781" i="23"/>
  <c r="F126" i="11" s="1"/>
  <c r="F125" i="11" s="1"/>
  <c r="I777" i="23"/>
  <c r="E781" i="23"/>
  <c r="E777" i="23"/>
  <c r="H781" i="23"/>
  <c r="E126" i="11" s="1"/>
  <c r="E125" i="11" s="1"/>
  <c r="H777" i="23"/>
  <c r="D781" i="23"/>
  <c r="D777" i="23"/>
  <c r="G781" i="23"/>
  <c r="D126" i="11" s="1"/>
  <c r="D125" i="11" s="1"/>
  <c r="G777" i="23"/>
  <c r="F701" i="23"/>
  <c r="F704" i="23"/>
  <c r="F715" i="23" s="1"/>
  <c r="E701" i="23"/>
  <c r="H704" i="23"/>
  <c r="H718" i="23" s="1"/>
  <c r="I759" i="23"/>
  <c r="I704" i="23"/>
  <c r="I718" i="23" s="1"/>
  <c r="C123" i="6"/>
  <c r="C124" i="6" s="1"/>
  <c r="D152" i="11"/>
  <c r="D123" i="6"/>
  <c r="D124" i="6" s="1"/>
  <c r="E152" i="11"/>
  <c r="E123" i="6"/>
  <c r="E124" i="6" s="1"/>
  <c r="F152" i="11"/>
  <c r="F123" i="6"/>
  <c r="F124" i="6" s="1"/>
  <c r="G152" i="11"/>
  <c r="N735" i="23"/>
  <c r="J703" i="23"/>
  <c r="J704" i="23"/>
  <c r="J708" i="23" s="1"/>
  <c r="K703" i="23"/>
  <c r="D701" i="23"/>
  <c r="K704" i="23"/>
  <c r="K707" i="23" s="1"/>
  <c r="M735" i="23"/>
  <c r="H757" i="23"/>
  <c r="F652" i="23"/>
  <c r="D703" i="23"/>
  <c r="K701" i="23"/>
  <c r="D704" i="23"/>
  <c r="E703" i="23"/>
  <c r="G703" i="23"/>
  <c r="G704" i="23"/>
  <c r="H703" i="23"/>
  <c r="G701" i="23"/>
  <c r="G757" i="23"/>
  <c r="F703" i="23"/>
  <c r="H701" i="23"/>
  <c r="C656" i="23"/>
  <c r="C658" i="23" s="1"/>
  <c r="K656" i="23"/>
  <c r="K658" i="23" s="1"/>
  <c r="K669" i="23" s="1"/>
  <c r="I703" i="23"/>
  <c r="G123" i="6"/>
  <c r="G124" i="6" s="1"/>
  <c r="H652" i="23"/>
  <c r="J656" i="23"/>
  <c r="J658" i="23" s="1"/>
  <c r="J669" i="23" s="1"/>
  <c r="F656" i="23"/>
  <c r="F658" i="23" s="1"/>
  <c r="F669" i="23" s="1"/>
  <c r="N664" i="23"/>
  <c r="M664" i="23"/>
  <c r="J652" i="23"/>
  <c r="K652" i="23"/>
  <c r="I656" i="23"/>
  <c r="I658" i="23" s="1"/>
  <c r="I669" i="23" s="1"/>
  <c r="G652" i="23"/>
  <c r="D652" i="23"/>
  <c r="H656" i="23"/>
  <c r="H658" i="23" s="1"/>
  <c r="H669" i="23" s="1"/>
  <c r="E652" i="23"/>
  <c r="I652" i="23"/>
  <c r="M674" i="23"/>
  <c r="M675" i="23"/>
  <c r="N675" i="23"/>
  <c r="N674" i="23"/>
  <c r="C716" i="23" l="1"/>
  <c r="K79" i="13"/>
  <c r="G123" i="13"/>
  <c r="G124" i="13" s="1"/>
  <c r="F47" i="13"/>
  <c r="L83" i="13"/>
  <c r="L104" i="13" s="1"/>
  <c r="E718" i="23"/>
  <c r="E717" i="23"/>
  <c r="C708" i="23"/>
  <c r="C718" i="23"/>
  <c r="C717" i="23"/>
  <c r="C707" i="23"/>
  <c r="D705" i="23"/>
  <c r="D136" i="11"/>
  <c r="H136" i="11"/>
  <c r="F136" i="11"/>
  <c r="G136" i="11"/>
  <c r="E136" i="11"/>
  <c r="F708" i="23"/>
  <c r="F717" i="23"/>
  <c r="D92" i="25"/>
  <c r="D93" i="25" s="1"/>
  <c r="K92" i="25"/>
  <c r="K93" i="25" s="1"/>
  <c r="E716" i="23"/>
  <c r="I92" i="25"/>
  <c r="I93" i="25" s="1"/>
  <c r="E708" i="23"/>
  <c r="J92" i="25"/>
  <c r="J93" i="25" s="1"/>
  <c r="E715" i="23"/>
  <c r="E92" i="25"/>
  <c r="E93" i="25" s="1"/>
  <c r="F718" i="23"/>
  <c r="M781" i="23"/>
  <c r="I126" i="11" s="1"/>
  <c r="H715" i="23"/>
  <c r="F92" i="25"/>
  <c r="F93" i="25" s="1"/>
  <c r="C92" i="25"/>
  <c r="C93" i="25" s="1"/>
  <c r="H708" i="23"/>
  <c r="H707" i="23"/>
  <c r="H717" i="23"/>
  <c r="F707" i="23"/>
  <c r="H716" i="23"/>
  <c r="G92" i="25"/>
  <c r="G93" i="25" s="1"/>
  <c r="F716" i="23"/>
  <c r="N781" i="23"/>
  <c r="I705" i="23"/>
  <c r="I707" i="23"/>
  <c r="I708" i="23"/>
  <c r="I715" i="23"/>
  <c r="I716" i="23"/>
  <c r="I717" i="23"/>
  <c r="G717" i="23"/>
  <c r="G718" i="23"/>
  <c r="G716" i="23"/>
  <c r="N701" i="23"/>
  <c r="M701" i="23"/>
  <c r="G707" i="23"/>
  <c r="G705" i="23"/>
  <c r="D708" i="23"/>
  <c r="D718" i="23"/>
  <c r="D707" i="23"/>
  <c r="D717" i="23"/>
  <c r="D716" i="23"/>
  <c r="D715" i="23"/>
  <c r="M703" i="23"/>
  <c r="N703" i="23"/>
  <c r="G708" i="23"/>
  <c r="H705" i="23"/>
  <c r="J716" i="23"/>
  <c r="J715" i="23"/>
  <c r="J718" i="23"/>
  <c r="J707" i="23"/>
  <c r="J717" i="23"/>
  <c r="K715" i="23"/>
  <c r="K708" i="23"/>
  <c r="K718" i="23"/>
  <c r="K717" i="23"/>
  <c r="K716" i="23"/>
  <c r="J705" i="23"/>
  <c r="E705" i="23"/>
  <c r="F705" i="23"/>
  <c r="K705" i="23"/>
  <c r="C669" i="23"/>
  <c r="N658" i="23"/>
  <c r="M658" i="23"/>
  <c r="N656" i="23"/>
  <c r="M656" i="23"/>
  <c r="H92" i="25"/>
  <c r="H93" i="25" s="1"/>
  <c r="L79" i="13" l="1"/>
  <c r="M83" i="13"/>
  <c r="M104" i="13" s="1"/>
  <c r="H123" i="13"/>
  <c r="G47" i="13"/>
  <c r="N716" i="23"/>
  <c r="M716" i="23"/>
  <c r="M707" i="23"/>
  <c r="M717" i="23"/>
  <c r="M708" i="23"/>
  <c r="N705" i="23"/>
  <c r="N717" i="23"/>
  <c r="N718" i="23"/>
  <c r="M718" i="23"/>
  <c r="N707" i="23"/>
  <c r="N715" i="23"/>
  <c r="M715" i="23"/>
  <c r="M705" i="23"/>
  <c r="N708" i="23"/>
  <c r="G596" i="23"/>
  <c r="H111" i="11"/>
  <c r="G111" i="11"/>
  <c r="F111" i="11"/>
  <c r="E111" i="11"/>
  <c r="D111" i="11"/>
  <c r="K456" i="23"/>
  <c r="J456" i="23"/>
  <c r="I456" i="23"/>
  <c r="H456" i="23"/>
  <c r="G456" i="23"/>
  <c r="F456" i="23"/>
  <c r="E456" i="23"/>
  <c r="D456" i="23"/>
  <c r="C456" i="23"/>
  <c r="E642" i="23"/>
  <c r="D642" i="23"/>
  <c r="C642" i="23"/>
  <c r="G642" i="23"/>
  <c r="H642" i="23"/>
  <c r="I642" i="23"/>
  <c r="G31" i="13"/>
  <c r="H34" i="13"/>
  <c r="G13" i="18" s="1"/>
  <c r="G34" i="13"/>
  <c r="F13" i="18" s="1"/>
  <c r="F34" i="13"/>
  <c r="E13" i="18" s="1"/>
  <c r="E34" i="13"/>
  <c r="D13" i="18" s="1"/>
  <c r="D34" i="13"/>
  <c r="C13" i="18" s="1"/>
  <c r="M61" i="6"/>
  <c r="N43" i="11" s="1"/>
  <c r="J61" i="6"/>
  <c r="K43" i="11" s="1"/>
  <c r="L61" i="6"/>
  <c r="M43" i="11" s="1"/>
  <c r="K61" i="6"/>
  <c r="L43" i="11" s="1"/>
  <c r="I61" i="6"/>
  <c r="J43" i="11" s="1"/>
  <c r="H61" i="6"/>
  <c r="I43" i="11" s="1"/>
  <c r="B61" i="6"/>
  <c r="K642" i="23"/>
  <c r="F642" i="23"/>
  <c r="H31" i="13"/>
  <c r="H30" i="13"/>
  <c r="G30" i="13"/>
  <c r="F30" i="13"/>
  <c r="E30" i="13"/>
  <c r="D30" i="13"/>
  <c r="C10" i="25"/>
  <c r="D10" i="25"/>
  <c r="E10" i="25"/>
  <c r="F10" i="25"/>
  <c r="G10" i="25"/>
  <c r="H10" i="25"/>
  <c r="I10" i="25"/>
  <c r="J10" i="25"/>
  <c r="K10" i="25"/>
  <c r="C15" i="25"/>
  <c r="C584" i="23" s="1"/>
  <c r="D15" i="25"/>
  <c r="D584" i="23" s="1"/>
  <c r="E15" i="25"/>
  <c r="E584" i="23" s="1"/>
  <c r="F15" i="25"/>
  <c r="F584" i="23" s="1"/>
  <c r="H584" i="23"/>
  <c r="I584" i="23"/>
  <c r="I71" i="11"/>
  <c r="D559" i="23"/>
  <c r="E559" i="23" s="1"/>
  <c r="F559" i="23" s="1"/>
  <c r="G559" i="23" s="1"/>
  <c r="H559" i="23" s="1"/>
  <c r="I70" i="11"/>
  <c r="K566" i="23"/>
  <c r="H71" i="11" s="1"/>
  <c r="J566" i="23"/>
  <c r="G71" i="11" s="1"/>
  <c r="I566" i="23"/>
  <c r="F71" i="11" s="1"/>
  <c r="H566" i="23"/>
  <c r="E71" i="11" s="1"/>
  <c r="G566" i="23"/>
  <c r="D71" i="11" s="1"/>
  <c r="F566" i="23"/>
  <c r="E566" i="23"/>
  <c r="D566" i="23"/>
  <c r="K564" i="23"/>
  <c r="J564" i="23"/>
  <c r="I564" i="23"/>
  <c r="H564" i="23"/>
  <c r="G564" i="23"/>
  <c r="F564" i="23"/>
  <c r="E564" i="23"/>
  <c r="D564" i="23"/>
  <c r="C564" i="23"/>
  <c r="B75" i="6"/>
  <c r="B69" i="6"/>
  <c r="K555" i="23"/>
  <c r="J555" i="23"/>
  <c r="I555" i="23"/>
  <c r="H555" i="23"/>
  <c r="G555" i="23"/>
  <c r="F555" i="23"/>
  <c r="E555" i="23"/>
  <c r="D555" i="23"/>
  <c r="C555" i="23"/>
  <c r="H72" i="11"/>
  <c r="G72" i="11"/>
  <c r="G25" i="13" s="1"/>
  <c r="F72" i="11"/>
  <c r="F25" i="13" s="1"/>
  <c r="E72" i="11"/>
  <c r="E25" i="13" s="1"/>
  <c r="D72" i="11"/>
  <c r="D25" i="13" s="1"/>
  <c r="K632" i="23"/>
  <c r="J632" i="23"/>
  <c r="I632" i="23"/>
  <c r="H632" i="23"/>
  <c r="G632" i="23"/>
  <c r="F632" i="23"/>
  <c r="E632" i="23"/>
  <c r="D632" i="23"/>
  <c r="C632" i="23"/>
  <c r="K628" i="23"/>
  <c r="K635" i="23" s="1"/>
  <c r="J628" i="23"/>
  <c r="I628" i="23"/>
  <c r="I630" i="23" s="1"/>
  <c r="H628" i="23"/>
  <c r="G628" i="23"/>
  <c r="F628" i="23"/>
  <c r="F635" i="23" s="1"/>
  <c r="E628" i="23"/>
  <c r="E630" i="23" s="1"/>
  <c r="D628" i="23"/>
  <c r="D631" i="23" s="1"/>
  <c r="C628" i="23"/>
  <c r="C635" i="23" s="1"/>
  <c r="K626" i="23"/>
  <c r="J626" i="23"/>
  <c r="I626" i="23"/>
  <c r="H626" i="23"/>
  <c r="G626" i="23"/>
  <c r="F626" i="23"/>
  <c r="E626" i="23"/>
  <c r="D626" i="23"/>
  <c r="C626" i="23"/>
  <c r="L606" i="23"/>
  <c r="H72" i="6" s="1"/>
  <c r="H73" i="6" s="1"/>
  <c r="H74" i="6" s="1"/>
  <c r="L602" i="23"/>
  <c r="M602" i="23" s="1"/>
  <c r="N602" i="23" s="1"/>
  <c r="O602" i="23" s="1"/>
  <c r="P602" i="23" s="1"/>
  <c r="Q602" i="23" s="1"/>
  <c r="K604" i="23"/>
  <c r="K606" i="23" s="1"/>
  <c r="G72" i="6" s="1"/>
  <c r="J604" i="23"/>
  <c r="J606" i="23" s="1"/>
  <c r="F72" i="6" s="1"/>
  <c r="F73" i="6" s="1"/>
  <c r="F74" i="6" s="1"/>
  <c r="I604" i="23"/>
  <c r="I606" i="23" s="1"/>
  <c r="E72" i="6" s="1"/>
  <c r="E73" i="6" s="1"/>
  <c r="E74" i="6" s="1"/>
  <c r="H604" i="23"/>
  <c r="H606" i="23" s="1"/>
  <c r="D72" i="6" s="1"/>
  <c r="G604" i="23"/>
  <c r="G606" i="23" s="1"/>
  <c r="C72" i="6" s="1"/>
  <c r="F604" i="23"/>
  <c r="F606" i="23" s="1"/>
  <c r="E604" i="23"/>
  <c r="E606" i="23" s="1"/>
  <c r="D604" i="23"/>
  <c r="D606" i="23" s="1"/>
  <c r="C604" i="23"/>
  <c r="C606" i="23" s="1"/>
  <c r="L551" i="23"/>
  <c r="M551" i="23" s="1"/>
  <c r="N551" i="23" s="1"/>
  <c r="O551" i="23" s="1"/>
  <c r="P551" i="23" s="1"/>
  <c r="Q551" i="23" s="1"/>
  <c r="M93" i="6"/>
  <c r="N65" i="11" s="1"/>
  <c r="L93" i="6"/>
  <c r="M65" i="11" s="1"/>
  <c r="K93" i="6"/>
  <c r="L65" i="11" s="1"/>
  <c r="J93" i="6"/>
  <c r="K65" i="11" s="1"/>
  <c r="I93" i="6"/>
  <c r="J65" i="11" s="1"/>
  <c r="H93" i="6"/>
  <c r="I65" i="11" s="1"/>
  <c r="B93" i="6"/>
  <c r="K596" i="23"/>
  <c r="J596" i="23"/>
  <c r="I596" i="23"/>
  <c r="H596" i="23"/>
  <c r="F596" i="23"/>
  <c r="E596" i="23"/>
  <c r="D596" i="23"/>
  <c r="C596" i="23"/>
  <c r="K595" i="23"/>
  <c r="K641" i="23" s="1"/>
  <c r="K661" i="23" s="1"/>
  <c r="J595" i="23"/>
  <c r="J641" i="23" s="1"/>
  <c r="J661" i="23" s="1"/>
  <c r="I595" i="23"/>
  <c r="I641" i="23" s="1"/>
  <c r="I661" i="23" s="1"/>
  <c r="H595" i="23"/>
  <c r="H641" i="23" s="1"/>
  <c r="H661" i="23" s="1"/>
  <c r="G595" i="23"/>
  <c r="G641" i="23" s="1"/>
  <c r="G661" i="23" s="1"/>
  <c r="F595" i="23"/>
  <c r="F641" i="23" s="1"/>
  <c r="F661" i="23" s="1"/>
  <c r="E595" i="23"/>
  <c r="E641" i="23" s="1"/>
  <c r="E661" i="23" s="1"/>
  <c r="D595" i="23"/>
  <c r="D641" i="23" s="1"/>
  <c r="D661" i="23" s="1"/>
  <c r="C595" i="23"/>
  <c r="C641" i="23" s="1"/>
  <c r="C661" i="23" s="1"/>
  <c r="M87" i="6"/>
  <c r="N61" i="11" s="1"/>
  <c r="L87" i="6"/>
  <c r="M61" i="11" s="1"/>
  <c r="K87" i="6"/>
  <c r="L61" i="11" s="1"/>
  <c r="J87" i="6"/>
  <c r="K61" i="11" s="1"/>
  <c r="I87" i="6"/>
  <c r="J61" i="11" s="1"/>
  <c r="H87" i="6"/>
  <c r="I61" i="11" s="1"/>
  <c r="B87" i="6"/>
  <c r="K589" i="23"/>
  <c r="J589" i="23"/>
  <c r="I589" i="23"/>
  <c r="H589" i="23"/>
  <c r="G589" i="23"/>
  <c r="F589" i="23"/>
  <c r="E589" i="23"/>
  <c r="D589" i="23"/>
  <c r="C589" i="23"/>
  <c r="M81" i="6"/>
  <c r="N57" i="11" s="1"/>
  <c r="L81" i="6"/>
  <c r="M57" i="11" s="1"/>
  <c r="K81" i="6"/>
  <c r="L57" i="11" s="1"/>
  <c r="J81" i="6"/>
  <c r="K57" i="11" s="1"/>
  <c r="I81" i="6"/>
  <c r="J57" i="11" s="1"/>
  <c r="H81" i="6"/>
  <c r="I57" i="11" s="1"/>
  <c r="B81" i="6"/>
  <c r="K584" i="23"/>
  <c r="J584" i="23"/>
  <c r="C583" i="23"/>
  <c r="D583" i="23"/>
  <c r="E583" i="23"/>
  <c r="F583" i="23"/>
  <c r="G583" i="23"/>
  <c r="H583" i="23"/>
  <c r="I583" i="23"/>
  <c r="J583" i="23"/>
  <c r="K583" i="23"/>
  <c r="K554" i="23"/>
  <c r="H70" i="11" s="1"/>
  <c r="J554" i="23"/>
  <c r="G70" i="11" s="1"/>
  <c r="I554" i="23"/>
  <c r="F70" i="11" s="1"/>
  <c r="H554" i="23"/>
  <c r="E70" i="11" s="1"/>
  <c r="G554" i="23"/>
  <c r="D70" i="11" s="1"/>
  <c r="F554" i="23"/>
  <c r="E554" i="23"/>
  <c r="D554" i="23"/>
  <c r="C554" i="23"/>
  <c r="K477" i="23"/>
  <c r="J477" i="23"/>
  <c r="I477" i="23"/>
  <c r="H477" i="23"/>
  <c r="G477" i="23"/>
  <c r="F477" i="23"/>
  <c r="E477" i="23"/>
  <c r="D477" i="23"/>
  <c r="K512" i="23"/>
  <c r="J512" i="23"/>
  <c r="I512" i="23"/>
  <c r="H512" i="23"/>
  <c r="G512" i="23"/>
  <c r="F512" i="23"/>
  <c r="E512" i="23"/>
  <c r="D512" i="23"/>
  <c r="D514" i="23" s="1"/>
  <c r="K479" i="23"/>
  <c r="K511" i="23" s="1"/>
  <c r="J479" i="23"/>
  <c r="J511" i="23" s="1"/>
  <c r="I479" i="23"/>
  <c r="I511" i="23" s="1"/>
  <c r="H479" i="23"/>
  <c r="H511" i="23" s="1"/>
  <c r="G479" i="23"/>
  <c r="G511" i="23" s="1"/>
  <c r="F479" i="23"/>
  <c r="F511" i="23" s="1"/>
  <c r="E479" i="23"/>
  <c r="E511" i="23" s="1"/>
  <c r="D479" i="23"/>
  <c r="D511" i="23" s="1"/>
  <c r="K496" i="23"/>
  <c r="K507" i="23" s="1"/>
  <c r="J496" i="23"/>
  <c r="J503" i="23" s="1"/>
  <c r="I496" i="23"/>
  <c r="I505" i="23" s="1"/>
  <c r="H496" i="23"/>
  <c r="H505" i="23" s="1"/>
  <c r="G496" i="23"/>
  <c r="G499" i="23" s="1"/>
  <c r="F496" i="23"/>
  <c r="F506" i="23" s="1"/>
  <c r="E496" i="23"/>
  <c r="E504" i="23" s="1"/>
  <c r="D496" i="23"/>
  <c r="D504" i="23" s="1"/>
  <c r="C496" i="23"/>
  <c r="C500" i="23" s="1"/>
  <c r="K472" i="23"/>
  <c r="J472" i="23"/>
  <c r="I472" i="23"/>
  <c r="H472" i="23"/>
  <c r="G472" i="23"/>
  <c r="F472" i="23"/>
  <c r="E472" i="23"/>
  <c r="D472" i="23"/>
  <c r="C472" i="23"/>
  <c r="K468" i="23"/>
  <c r="J468" i="23"/>
  <c r="I468" i="23"/>
  <c r="H468" i="23"/>
  <c r="G468" i="23"/>
  <c r="F468" i="23"/>
  <c r="E468" i="23"/>
  <c r="D468" i="23"/>
  <c r="C468" i="23"/>
  <c r="K466" i="23"/>
  <c r="J466" i="23"/>
  <c r="I466" i="23"/>
  <c r="H466" i="23"/>
  <c r="G466" i="23"/>
  <c r="F466" i="23"/>
  <c r="E466" i="23"/>
  <c r="D466" i="23"/>
  <c r="C466" i="23"/>
  <c r="H106" i="11"/>
  <c r="G106" i="11"/>
  <c r="G50" i="13" s="1"/>
  <c r="F106" i="11"/>
  <c r="F50" i="13" s="1"/>
  <c r="E106" i="11"/>
  <c r="E50" i="13" s="1"/>
  <c r="D106" i="11"/>
  <c r="D50" i="13" s="1"/>
  <c r="K448" i="23"/>
  <c r="J448" i="23"/>
  <c r="I448" i="23"/>
  <c r="H448" i="23"/>
  <c r="G448" i="23"/>
  <c r="F448" i="23"/>
  <c r="E448" i="23"/>
  <c r="D448" i="23"/>
  <c r="C448" i="23"/>
  <c r="B448" i="23"/>
  <c r="C438" i="23"/>
  <c r="H101" i="11"/>
  <c r="G101" i="11"/>
  <c r="F101" i="11"/>
  <c r="E101" i="11"/>
  <c r="D101" i="11"/>
  <c r="D132" i="11" s="1"/>
  <c r="K438" i="23"/>
  <c r="J438" i="23"/>
  <c r="I438" i="23"/>
  <c r="H438" i="23"/>
  <c r="G438" i="23"/>
  <c r="F438" i="23"/>
  <c r="E438" i="23"/>
  <c r="D438" i="23"/>
  <c r="D91" i="11"/>
  <c r="D131" i="11" s="1"/>
  <c r="E91" i="11"/>
  <c r="F91" i="11"/>
  <c r="G91" i="11"/>
  <c r="H91" i="11"/>
  <c r="I400" i="23"/>
  <c r="H400" i="23"/>
  <c r="G400" i="23"/>
  <c r="F400" i="23"/>
  <c r="E400" i="23"/>
  <c r="D400" i="23"/>
  <c r="C400" i="23"/>
  <c r="K367" i="23"/>
  <c r="J367" i="23"/>
  <c r="I367" i="23"/>
  <c r="H367" i="23"/>
  <c r="G367" i="23"/>
  <c r="F367" i="23"/>
  <c r="E367" i="23"/>
  <c r="D367" i="23"/>
  <c r="C367" i="23"/>
  <c r="L374" i="23"/>
  <c r="K374" i="23"/>
  <c r="J374" i="23"/>
  <c r="I374" i="23"/>
  <c r="H374" i="23"/>
  <c r="G374" i="23"/>
  <c r="F374" i="23"/>
  <c r="E374" i="23"/>
  <c r="D374" i="23"/>
  <c r="C374" i="23"/>
  <c r="L373" i="23"/>
  <c r="K373" i="23"/>
  <c r="J373" i="23"/>
  <c r="I373" i="23"/>
  <c r="H373" i="23"/>
  <c r="G373" i="23"/>
  <c r="F373" i="23"/>
  <c r="E373" i="23"/>
  <c r="D373" i="23"/>
  <c r="C373" i="23"/>
  <c r="K355" i="23"/>
  <c r="J355" i="23"/>
  <c r="I355" i="23"/>
  <c r="H355" i="23"/>
  <c r="G355" i="23"/>
  <c r="F355" i="23"/>
  <c r="E355" i="23"/>
  <c r="D355" i="23"/>
  <c r="C355" i="23"/>
  <c r="K352" i="23"/>
  <c r="K437" i="23" s="1"/>
  <c r="J352" i="23"/>
  <c r="J437" i="23" s="1"/>
  <c r="I352" i="23"/>
  <c r="I437" i="23" s="1"/>
  <c r="H352" i="23"/>
  <c r="H437" i="23" s="1"/>
  <c r="G352" i="23"/>
  <c r="G437" i="23" s="1"/>
  <c r="F352" i="23"/>
  <c r="F437" i="23" s="1"/>
  <c r="E352" i="23"/>
  <c r="E437" i="23" s="1"/>
  <c r="D352" i="23"/>
  <c r="D437" i="23" s="1"/>
  <c r="C352" i="23"/>
  <c r="C437" i="23" s="1"/>
  <c r="C440" i="23" s="1"/>
  <c r="K305" i="23"/>
  <c r="J305" i="23"/>
  <c r="I305" i="23"/>
  <c r="H305" i="23"/>
  <c r="G305" i="23"/>
  <c r="F305" i="23"/>
  <c r="E305" i="23"/>
  <c r="D305" i="23"/>
  <c r="C305" i="23"/>
  <c r="H96" i="11"/>
  <c r="G96" i="11"/>
  <c r="F96" i="11"/>
  <c r="E96" i="11"/>
  <c r="D96" i="11"/>
  <c r="D130" i="11" s="1"/>
  <c r="L320" i="23"/>
  <c r="K320" i="23"/>
  <c r="J320" i="23"/>
  <c r="I320" i="23"/>
  <c r="H320" i="23"/>
  <c r="G320" i="23"/>
  <c r="F320" i="23"/>
  <c r="E320" i="23"/>
  <c r="D320" i="23"/>
  <c r="L319" i="23"/>
  <c r="K319" i="23"/>
  <c r="J319" i="23"/>
  <c r="I319" i="23"/>
  <c r="H319" i="23"/>
  <c r="G319" i="23"/>
  <c r="F319" i="23"/>
  <c r="E319" i="23"/>
  <c r="D319" i="23"/>
  <c r="C320" i="23"/>
  <c r="C319" i="23"/>
  <c r="K313" i="23"/>
  <c r="L313" i="23" s="1"/>
  <c r="J313" i="23"/>
  <c r="I313" i="23"/>
  <c r="H313" i="23"/>
  <c r="G313" i="23"/>
  <c r="F313" i="23"/>
  <c r="E313" i="23"/>
  <c r="D313" i="23"/>
  <c r="C313" i="23"/>
  <c r="K299" i="23"/>
  <c r="J299" i="23"/>
  <c r="I299" i="23"/>
  <c r="H299" i="23"/>
  <c r="G299" i="23"/>
  <c r="F299" i="23"/>
  <c r="E299" i="23"/>
  <c r="D299" i="23"/>
  <c r="C299" i="23"/>
  <c r="B299" i="23"/>
  <c r="K296" i="23"/>
  <c r="K447" i="23" s="1"/>
  <c r="K455" i="23" s="1"/>
  <c r="J296" i="23"/>
  <c r="J447" i="23" s="1"/>
  <c r="J450" i="23" s="1"/>
  <c r="I296" i="23"/>
  <c r="I447" i="23" s="1"/>
  <c r="I455" i="23" s="1"/>
  <c r="H296" i="23"/>
  <c r="H447" i="23" s="1"/>
  <c r="H450" i="23" s="1"/>
  <c r="G296" i="23"/>
  <c r="G447" i="23" s="1"/>
  <c r="G450" i="23" s="1"/>
  <c r="F296" i="23"/>
  <c r="F447" i="23" s="1"/>
  <c r="F455" i="23" s="1"/>
  <c r="E296" i="23"/>
  <c r="E447" i="23" s="1"/>
  <c r="E455" i="23" s="1"/>
  <c r="D296" i="23"/>
  <c r="D447" i="23" s="1"/>
  <c r="D455" i="23" s="1"/>
  <c r="C296" i="23"/>
  <c r="C447" i="23" s="1"/>
  <c r="C450" i="23" s="1"/>
  <c r="O280" i="23"/>
  <c r="N280" i="23"/>
  <c r="M280" i="23"/>
  <c r="O277" i="23"/>
  <c r="N277" i="23"/>
  <c r="M277" i="23"/>
  <c r="O276" i="23"/>
  <c r="N276" i="23"/>
  <c r="M276" i="23"/>
  <c r="O275" i="23"/>
  <c r="N275" i="23"/>
  <c r="M275" i="23"/>
  <c r="O274" i="23"/>
  <c r="N274" i="23"/>
  <c r="M274" i="23"/>
  <c r="O273" i="23"/>
  <c r="N273" i="23"/>
  <c r="M273" i="23"/>
  <c r="O272" i="23"/>
  <c r="N272" i="23"/>
  <c r="M272" i="23"/>
  <c r="K278" i="23"/>
  <c r="K291" i="23" s="1"/>
  <c r="J278" i="23"/>
  <c r="J282" i="23" s="1"/>
  <c r="I278" i="23"/>
  <c r="I285" i="23" s="1"/>
  <c r="H278" i="23"/>
  <c r="H286" i="23" s="1"/>
  <c r="G278" i="23"/>
  <c r="G287" i="23" s="1"/>
  <c r="F278" i="23"/>
  <c r="F288" i="23" s="1"/>
  <c r="E278" i="23"/>
  <c r="E289" i="23" s="1"/>
  <c r="D278" i="23"/>
  <c r="D290" i="23" s="1"/>
  <c r="C278" i="23"/>
  <c r="C291" i="23" s="1"/>
  <c r="C15" i="18" l="1"/>
  <c r="C11" i="18"/>
  <c r="D15" i="18"/>
  <c r="D11" i="18"/>
  <c r="E15" i="18"/>
  <c r="E11" i="18"/>
  <c r="F15" i="18"/>
  <c r="F11" i="18"/>
  <c r="M79" i="13"/>
  <c r="H124" i="13"/>
  <c r="H47" i="13" s="1"/>
  <c r="N83" i="13"/>
  <c r="N104" i="13" s="1"/>
  <c r="F48" i="13"/>
  <c r="F130" i="11"/>
  <c r="E52" i="13"/>
  <c r="E132" i="11"/>
  <c r="G48" i="13"/>
  <c r="G130" i="11"/>
  <c r="F52" i="13"/>
  <c r="F132" i="11"/>
  <c r="H48" i="13"/>
  <c r="H130" i="11"/>
  <c r="H49" i="13"/>
  <c r="H131" i="11"/>
  <c r="G52" i="13"/>
  <c r="G132" i="11"/>
  <c r="G49" i="13"/>
  <c r="G131" i="11"/>
  <c r="H52" i="13"/>
  <c r="H132" i="11"/>
  <c r="F49" i="13"/>
  <c r="F131" i="11"/>
  <c r="E49" i="13"/>
  <c r="E131" i="11"/>
  <c r="D48" i="13"/>
  <c r="D49" i="13"/>
  <c r="E48" i="13"/>
  <c r="E130" i="11"/>
  <c r="D52" i="13"/>
  <c r="J663" i="23"/>
  <c r="J710" i="23"/>
  <c r="C663" i="23"/>
  <c r="C710" i="23"/>
  <c r="K663" i="23"/>
  <c r="K710" i="23"/>
  <c r="D663" i="23"/>
  <c r="D710" i="23"/>
  <c r="E663" i="23"/>
  <c r="E710" i="23"/>
  <c r="F663" i="23"/>
  <c r="F710" i="23"/>
  <c r="G663" i="23"/>
  <c r="G710" i="23"/>
  <c r="H663" i="23"/>
  <c r="H710" i="23"/>
  <c r="I663" i="23"/>
  <c r="I710" i="23"/>
  <c r="H51" i="13"/>
  <c r="F51" i="13"/>
  <c r="G51" i="13"/>
  <c r="J455" i="23"/>
  <c r="J458" i="23" s="1"/>
  <c r="H455" i="23"/>
  <c r="H458" i="23" s="1"/>
  <c r="K458" i="23"/>
  <c r="G455" i="23"/>
  <c r="G458" i="23" s="1"/>
  <c r="I458" i="23"/>
  <c r="C455" i="23"/>
  <c r="C458" i="23" s="1"/>
  <c r="E51" i="13"/>
  <c r="D51" i="13"/>
  <c r="G584" i="23"/>
  <c r="G586" i="23" s="1"/>
  <c r="C78" i="6" s="1"/>
  <c r="C79" i="6" s="1"/>
  <c r="C80" i="6" s="1"/>
  <c r="F458" i="23"/>
  <c r="D458" i="23"/>
  <c r="E458" i="23"/>
  <c r="D31" i="13"/>
  <c r="E31" i="13"/>
  <c r="F31" i="13"/>
  <c r="F644" i="23"/>
  <c r="I644" i="23"/>
  <c r="E58" i="6" s="1"/>
  <c r="E59" i="6" s="1"/>
  <c r="E60" i="6" s="1"/>
  <c r="E644" i="23"/>
  <c r="C644" i="23"/>
  <c r="G644" i="23"/>
  <c r="C58" i="6" s="1"/>
  <c r="C59" i="6" s="1"/>
  <c r="C60" i="6" s="1"/>
  <c r="J642" i="23"/>
  <c r="J644" i="23" s="1"/>
  <c r="F58" i="6" s="1"/>
  <c r="F59" i="6" s="1"/>
  <c r="F60" i="6" s="1"/>
  <c r="K644" i="23"/>
  <c r="G58" i="6" s="1"/>
  <c r="H43" i="11" s="1"/>
  <c r="D644" i="23"/>
  <c r="H644" i="23"/>
  <c r="D58" i="6" s="1"/>
  <c r="D73" i="11"/>
  <c r="I72" i="11"/>
  <c r="I25" i="13" s="1"/>
  <c r="H25" i="13"/>
  <c r="F586" i="23"/>
  <c r="E73" i="11"/>
  <c r="G73" i="11"/>
  <c r="H73" i="11"/>
  <c r="F73" i="11"/>
  <c r="K450" i="23"/>
  <c r="H565" i="23"/>
  <c r="H567" i="23" s="1"/>
  <c r="F565" i="23"/>
  <c r="F567" i="23" s="1"/>
  <c r="J565" i="23"/>
  <c r="J567" i="23" s="1"/>
  <c r="D565" i="23"/>
  <c r="D567" i="23" s="1"/>
  <c r="E565" i="23"/>
  <c r="E567" i="23" s="1"/>
  <c r="G565" i="23"/>
  <c r="G567" i="23" s="1"/>
  <c r="I565" i="23"/>
  <c r="I567" i="23" s="1"/>
  <c r="K565" i="23"/>
  <c r="K567" i="23" s="1"/>
  <c r="J557" i="23"/>
  <c r="D557" i="23"/>
  <c r="E557" i="23"/>
  <c r="G557" i="23"/>
  <c r="H557" i="23"/>
  <c r="F557" i="23"/>
  <c r="I557" i="23"/>
  <c r="C557" i="23"/>
  <c r="K557" i="23"/>
  <c r="G73" i="6"/>
  <c r="G74" i="6" s="1"/>
  <c r="H53" i="11"/>
  <c r="C73" i="6"/>
  <c r="C74" i="6" s="1"/>
  <c r="D53" i="11"/>
  <c r="D73" i="6"/>
  <c r="D74" i="6" s="1"/>
  <c r="E53" i="11"/>
  <c r="F53" i="11"/>
  <c r="G53" i="11"/>
  <c r="H75" i="6"/>
  <c r="I53" i="11" s="1"/>
  <c r="F76" i="11"/>
  <c r="D76" i="11"/>
  <c r="E76" i="11"/>
  <c r="G76" i="11"/>
  <c r="C636" i="23"/>
  <c r="F630" i="23"/>
  <c r="E635" i="23"/>
  <c r="E636" i="23"/>
  <c r="H634" i="23"/>
  <c r="J636" i="23"/>
  <c r="E634" i="23"/>
  <c r="K636" i="23"/>
  <c r="F634" i="23"/>
  <c r="E631" i="23"/>
  <c r="G634" i="23"/>
  <c r="F631" i="23"/>
  <c r="D636" i="23"/>
  <c r="G598" i="23"/>
  <c r="C90" i="6" s="1"/>
  <c r="C91" i="6" s="1"/>
  <c r="C92" i="6" s="1"/>
  <c r="D635" i="23"/>
  <c r="G630" i="23"/>
  <c r="G631" i="23"/>
  <c r="I634" i="23"/>
  <c r="H630" i="23"/>
  <c r="H631" i="23"/>
  <c r="J634" i="23"/>
  <c r="G635" i="23"/>
  <c r="F636" i="23"/>
  <c r="I631" i="23"/>
  <c r="H635" i="23"/>
  <c r="C630" i="23"/>
  <c r="J630" i="23"/>
  <c r="J631" i="23"/>
  <c r="D634" i="23"/>
  <c r="I635" i="23"/>
  <c r="H636" i="23"/>
  <c r="G636" i="23"/>
  <c r="C631" i="23"/>
  <c r="K630" i="23"/>
  <c r="K631" i="23"/>
  <c r="J635" i="23"/>
  <c r="I636" i="23"/>
  <c r="C634" i="23"/>
  <c r="K634" i="23"/>
  <c r="D630" i="23"/>
  <c r="H76" i="11"/>
  <c r="K586" i="23"/>
  <c r="G78" i="6" s="1"/>
  <c r="G79" i="6" s="1"/>
  <c r="G80" i="6" s="1"/>
  <c r="D609" i="23"/>
  <c r="H598" i="23"/>
  <c r="D90" i="6" s="1"/>
  <c r="D91" i="6" s="1"/>
  <c r="D92" i="6" s="1"/>
  <c r="D608" i="23"/>
  <c r="N608" i="23"/>
  <c r="M608" i="23"/>
  <c r="K484" i="23"/>
  <c r="D586" i="23"/>
  <c r="E586" i="23"/>
  <c r="D598" i="23"/>
  <c r="E598" i="23"/>
  <c r="G484" i="23"/>
  <c r="F598" i="23"/>
  <c r="J484" i="23"/>
  <c r="J586" i="23"/>
  <c r="F78" i="6" s="1"/>
  <c r="F79" i="6" s="1"/>
  <c r="F80" i="6" s="1"/>
  <c r="H586" i="23"/>
  <c r="D78" i="6" s="1"/>
  <c r="E57" i="11" s="1"/>
  <c r="I586" i="23"/>
  <c r="E78" i="6" s="1"/>
  <c r="F57" i="11" s="1"/>
  <c r="D484" i="23"/>
  <c r="E484" i="23"/>
  <c r="F484" i="23"/>
  <c r="N477" i="23"/>
  <c r="H484" i="23"/>
  <c r="I484" i="23"/>
  <c r="C586" i="23"/>
  <c r="J598" i="23"/>
  <c r="F90" i="6" s="1"/>
  <c r="I598" i="23"/>
  <c r="E90" i="6" s="1"/>
  <c r="K598" i="23"/>
  <c r="G90" i="6" s="1"/>
  <c r="C598" i="23"/>
  <c r="H50" i="13"/>
  <c r="E515" i="23"/>
  <c r="E514" i="23"/>
  <c r="F515" i="23"/>
  <c r="M477" i="23"/>
  <c r="L552" i="23" s="1"/>
  <c r="G515" i="23"/>
  <c r="H515" i="23"/>
  <c r="I515" i="23"/>
  <c r="J515" i="23"/>
  <c r="K515" i="23"/>
  <c r="F514" i="23"/>
  <c r="G514" i="23"/>
  <c r="H514" i="23"/>
  <c r="D515" i="23"/>
  <c r="I514" i="23"/>
  <c r="J514" i="23"/>
  <c r="H470" i="23"/>
  <c r="K514" i="23"/>
  <c r="K480" i="23"/>
  <c r="K482" i="23" s="1"/>
  <c r="F480" i="23"/>
  <c r="F482" i="23" s="1"/>
  <c r="J480" i="23"/>
  <c r="J482" i="23" s="1"/>
  <c r="D480" i="23"/>
  <c r="D482" i="23" s="1"/>
  <c r="I480" i="23"/>
  <c r="I482" i="23" s="1"/>
  <c r="G480" i="23"/>
  <c r="G482" i="23" s="1"/>
  <c r="H480" i="23"/>
  <c r="H482" i="23" s="1"/>
  <c r="E480" i="23"/>
  <c r="E482" i="23" s="1"/>
  <c r="E358" i="23"/>
  <c r="E360" i="23" s="1"/>
  <c r="H499" i="23"/>
  <c r="H503" i="23"/>
  <c r="F503" i="23"/>
  <c r="J475" i="23"/>
  <c r="C475" i="23"/>
  <c r="F499" i="23"/>
  <c r="J501" i="23"/>
  <c r="E505" i="23"/>
  <c r="E502" i="23"/>
  <c r="F505" i="23"/>
  <c r="G470" i="23"/>
  <c r="E499" i="23"/>
  <c r="E503" i="23"/>
  <c r="J505" i="23"/>
  <c r="H506" i="23"/>
  <c r="E507" i="23"/>
  <c r="H500" i="23"/>
  <c r="F507" i="23"/>
  <c r="E501" i="23"/>
  <c r="H504" i="23"/>
  <c r="H507" i="23"/>
  <c r="F501" i="23"/>
  <c r="I504" i="23"/>
  <c r="I507" i="23"/>
  <c r="K505" i="23"/>
  <c r="K503" i="23"/>
  <c r="K501" i="23"/>
  <c r="K506" i="23"/>
  <c r="K504" i="23"/>
  <c r="K499" i="23"/>
  <c r="K502" i="23"/>
  <c r="K500" i="23"/>
  <c r="J499" i="23"/>
  <c r="J507" i="23"/>
  <c r="J502" i="23"/>
  <c r="J506" i="23"/>
  <c r="J500" i="23"/>
  <c r="J504" i="23"/>
  <c r="I502" i="23"/>
  <c r="I499" i="23"/>
  <c r="I506" i="23"/>
  <c r="I501" i="23"/>
  <c r="I503" i="23"/>
  <c r="I500" i="23"/>
  <c r="H501" i="23"/>
  <c r="H502" i="23"/>
  <c r="G507" i="23"/>
  <c r="G502" i="23"/>
  <c r="G506" i="23"/>
  <c r="G501" i="23"/>
  <c r="G500" i="23"/>
  <c r="G505" i="23"/>
  <c r="G504" i="23"/>
  <c r="G503" i="23"/>
  <c r="F504" i="23"/>
  <c r="F502" i="23"/>
  <c r="F500" i="23"/>
  <c r="E500" i="23"/>
  <c r="E506" i="23"/>
  <c r="C501" i="23"/>
  <c r="C502" i="23"/>
  <c r="C503" i="23"/>
  <c r="C504" i="23"/>
  <c r="C505" i="23"/>
  <c r="C506" i="23"/>
  <c r="C507" i="23"/>
  <c r="C499" i="23"/>
  <c r="D505" i="23"/>
  <c r="D506" i="23"/>
  <c r="D499" i="23"/>
  <c r="D507" i="23"/>
  <c r="D500" i="23"/>
  <c r="D503" i="23"/>
  <c r="D501" i="23"/>
  <c r="D502" i="23"/>
  <c r="D475" i="23"/>
  <c r="C470" i="23"/>
  <c r="K470" i="23"/>
  <c r="E475" i="23"/>
  <c r="F470" i="23"/>
  <c r="K475" i="23"/>
  <c r="H475" i="23"/>
  <c r="J470" i="23"/>
  <c r="I470" i="23"/>
  <c r="F475" i="23"/>
  <c r="G475" i="23"/>
  <c r="J440" i="23"/>
  <c r="E470" i="23"/>
  <c r="I475" i="23"/>
  <c r="D470" i="23"/>
  <c r="K440" i="23"/>
  <c r="I440" i="23"/>
  <c r="E450" i="23"/>
  <c r="F450" i="23"/>
  <c r="I450" i="23"/>
  <c r="G440" i="23"/>
  <c r="H440" i="23"/>
  <c r="D450" i="23"/>
  <c r="D440" i="23"/>
  <c r="E440" i="23"/>
  <c r="F440" i="23"/>
  <c r="K353" i="23"/>
  <c r="G353" i="23"/>
  <c r="J358" i="23"/>
  <c r="J362" i="23" s="1"/>
  <c r="J364" i="23" s="1"/>
  <c r="J368" i="23" s="1"/>
  <c r="F302" i="23"/>
  <c r="F303" i="23" s="1"/>
  <c r="I302" i="23"/>
  <c r="I307" i="23" s="1"/>
  <c r="I309" i="23" s="1"/>
  <c r="I314" i="23" s="1"/>
  <c r="I353" i="23"/>
  <c r="H358" i="23"/>
  <c r="H360" i="23" s="1"/>
  <c r="K358" i="23"/>
  <c r="K360" i="23" s="1"/>
  <c r="D358" i="23"/>
  <c r="D360" i="23" s="1"/>
  <c r="K356" i="23"/>
  <c r="D302" i="23"/>
  <c r="D307" i="23" s="1"/>
  <c r="D309" i="23" s="1"/>
  <c r="D314" i="23" s="1"/>
  <c r="J353" i="23"/>
  <c r="I358" i="23"/>
  <c r="I360" i="23" s="1"/>
  <c r="N319" i="23"/>
  <c r="J356" i="23"/>
  <c r="N374" i="23"/>
  <c r="N373" i="23"/>
  <c r="N320" i="23"/>
  <c r="M320" i="23"/>
  <c r="H353" i="23"/>
  <c r="F358" i="23"/>
  <c r="F360" i="23" s="1"/>
  <c r="M373" i="23"/>
  <c r="F356" i="23"/>
  <c r="M319" i="23"/>
  <c r="D353" i="23"/>
  <c r="G356" i="23"/>
  <c r="H356" i="23"/>
  <c r="G302" i="23"/>
  <c r="G303" i="23" s="1"/>
  <c r="F353" i="23"/>
  <c r="I356" i="23"/>
  <c r="G358" i="23"/>
  <c r="G360" i="23" s="1"/>
  <c r="M374" i="23"/>
  <c r="E356" i="23"/>
  <c r="D356" i="23"/>
  <c r="E353" i="23"/>
  <c r="E302" i="23"/>
  <c r="E303" i="23" s="1"/>
  <c r="H302" i="23"/>
  <c r="K302" i="23"/>
  <c r="J302" i="23"/>
  <c r="G297" i="23"/>
  <c r="E297" i="23"/>
  <c r="G300" i="23"/>
  <c r="I297" i="23"/>
  <c r="I300" i="23"/>
  <c r="J297" i="23"/>
  <c r="H300" i="23"/>
  <c r="K297" i="23"/>
  <c r="D300" i="23"/>
  <c r="E300" i="23"/>
  <c r="I290" i="23"/>
  <c r="F300" i="23"/>
  <c r="K300" i="23"/>
  <c r="J300" i="23"/>
  <c r="J288" i="23"/>
  <c r="F286" i="23"/>
  <c r="F282" i="23"/>
  <c r="H290" i="23"/>
  <c r="F297" i="23"/>
  <c r="D297" i="23"/>
  <c r="H297" i="23"/>
  <c r="E286" i="23"/>
  <c r="E288" i="23"/>
  <c r="C290" i="23"/>
  <c r="D286" i="23"/>
  <c r="K289" i="23"/>
  <c r="K282" i="23"/>
  <c r="C285" i="23"/>
  <c r="K288" i="23"/>
  <c r="E285" i="23"/>
  <c r="C289" i="23"/>
  <c r="F285" i="23"/>
  <c r="E287" i="23"/>
  <c r="M278" i="23"/>
  <c r="J285" i="23"/>
  <c r="F287" i="23"/>
  <c r="I289" i="23"/>
  <c r="J290" i="23"/>
  <c r="C288" i="23"/>
  <c r="C282" i="23"/>
  <c r="E290" i="23"/>
  <c r="C287" i="23"/>
  <c r="F290" i="23"/>
  <c r="D287" i="23"/>
  <c r="F289" i="23"/>
  <c r="N278" i="23"/>
  <c r="K285" i="23"/>
  <c r="K287" i="23"/>
  <c r="J289" i="23"/>
  <c r="K290" i="23"/>
  <c r="I286" i="23"/>
  <c r="H287" i="23"/>
  <c r="G288" i="23"/>
  <c r="D291" i="23"/>
  <c r="D282" i="23"/>
  <c r="J286" i="23"/>
  <c r="I287" i="23"/>
  <c r="H288" i="23"/>
  <c r="G289" i="23"/>
  <c r="E291" i="23"/>
  <c r="E282" i="23"/>
  <c r="D285" i="23"/>
  <c r="C286" i="23"/>
  <c r="K286" i="23"/>
  <c r="J287" i="23"/>
  <c r="I288" i="23"/>
  <c r="H289" i="23"/>
  <c r="G290" i="23"/>
  <c r="F291" i="23"/>
  <c r="G291" i="23"/>
  <c r="G282" i="23"/>
  <c r="H291" i="23"/>
  <c r="H282" i="23"/>
  <c r="O278" i="23"/>
  <c r="G285" i="23"/>
  <c r="D288" i="23"/>
  <c r="I291" i="23"/>
  <c r="I282" i="23"/>
  <c r="H285" i="23"/>
  <c r="G286" i="23"/>
  <c r="D289" i="23"/>
  <c r="J291" i="23"/>
  <c r="B20" i="13"/>
  <c r="B19" i="13"/>
  <c r="B18" i="13"/>
  <c r="B17" i="13"/>
  <c r="B37" i="11"/>
  <c r="B33" i="11"/>
  <c r="B29" i="11"/>
  <c r="B25" i="11"/>
  <c r="M53" i="6"/>
  <c r="N37" i="11" s="1"/>
  <c r="L53" i="6"/>
  <c r="M37" i="11" s="1"/>
  <c r="K53" i="6"/>
  <c r="L37" i="11" s="1"/>
  <c r="J53" i="6"/>
  <c r="K37" i="11" s="1"/>
  <c r="I53" i="6"/>
  <c r="J37" i="11" s="1"/>
  <c r="H53" i="6"/>
  <c r="I37" i="11" s="1"/>
  <c r="B53" i="6"/>
  <c r="M47" i="6"/>
  <c r="N33" i="11" s="1"/>
  <c r="L47" i="6"/>
  <c r="M33" i="11" s="1"/>
  <c r="K47" i="6"/>
  <c r="L33" i="11" s="1"/>
  <c r="J47" i="6"/>
  <c r="K33" i="11" s="1"/>
  <c r="I47" i="6"/>
  <c r="J33" i="11" s="1"/>
  <c r="H47" i="6"/>
  <c r="I33" i="11" s="1"/>
  <c r="B47" i="6"/>
  <c r="M41" i="6"/>
  <c r="N29" i="11" s="1"/>
  <c r="L41" i="6"/>
  <c r="M29" i="11" s="1"/>
  <c r="K41" i="6"/>
  <c r="L29" i="11" s="1"/>
  <c r="J41" i="6"/>
  <c r="K29" i="11" s="1"/>
  <c r="I41" i="6"/>
  <c r="J29" i="11" s="1"/>
  <c r="H41" i="6"/>
  <c r="I29" i="11" s="1"/>
  <c r="B41" i="6"/>
  <c r="D240" i="23"/>
  <c r="D258" i="23" s="1"/>
  <c r="C240" i="23"/>
  <c r="C259" i="23" s="1"/>
  <c r="D248" i="23"/>
  <c r="E248" i="23" s="1"/>
  <c r="F248" i="23" s="1"/>
  <c r="G248" i="23" s="1"/>
  <c r="H248" i="23" s="1"/>
  <c r="I248" i="23" s="1"/>
  <c r="J248" i="23" s="1"/>
  <c r="K248" i="23" s="1"/>
  <c r="D228" i="23"/>
  <c r="E228" i="23" s="1"/>
  <c r="F228" i="23" s="1"/>
  <c r="G228" i="23" s="1"/>
  <c r="H228" i="23" s="1"/>
  <c r="I228" i="23" s="1"/>
  <c r="J228" i="23" s="1"/>
  <c r="K228" i="23" s="1"/>
  <c r="M35" i="6"/>
  <c r="N25" i="11" s="1"/>
  <c r="L35" i="6"/>
  <c r="M25" i="11" s="1"/>
  <c r="K35" i="6"/>
  <c r="L25" i="11" s="1"/>
  <c r="J35" i="6"/>
  <c r="K25" i="11" s="1"/>
  <c r="I35" i="6"/>
  <c r="J25" i="11" s="1"/>
  <c r="B35" i="6"/>
  <c r="K240" i="23"/>
  <c r="K259" i="23" s="1"/>
  <c r="J240" i="23"/>
  <c r="J260" i="23" s="1"/>
  <c r="I240" i="23"/>
  <c r="I253" i="23" s="1"/>
  <c r="H240" i="23"/>
  <c r="H254" i="23" s="1"/>
  <c r="G240" i="23"/>
  <c r="G255" i="23" s="1"/>
  <c r="F240" i="23"/>
  <c r="F256" i="23" s="1"/>
  <c r="E240" i="23"/>
  <c r="E257" i="23" s="1"/>
  <c r="K219" i="23"/>
  <c r="K242" i="23" s="1"/>
  <c r="G32" i="6" s="1"/>
  <c r="G33" i="6" s="1"/>
  <c r="G34" i="6" s="1"/>
  <c r="J219" i="23"/>
  <c r="J242" i="23" s="1"/>
  <c r="F32" i="6" s="1"/>
  <c r="F33" i="6" s="1"/>
  <c r="F34" i="6" s="1"/>
  <c r="I219" i="23"/>
  <c r="I242" i="23" s="1"/>
  <c r="E32" i="6" s="1"/>
  <c r="H219" i="23"/>
  <c r="H242" i="23" s="1"/>
  <c r="D32" i="6" s="1"/>
  <c r="D33" i="6" s="1"/>
  <c r="D34" i="6" s="1"/>
  <c r="G219" i="23"/>
  <c r="G242" i="23" s="1"/>
  <c r="C32" i="6" s="1"/>
  <c r="C33" i="6" s="1"/>
  <c r="C34" i="6" s="1"/>
  <c r="F219" i="23"/>
  <c r="F242" i="23" s="1"/>
  <c r="E219" i="23"/>
  <c r="E242" i="23" s="1"/>
  <c r="D219" i="23"/>
  <c r="D242" i="23" s="1"/>
  <c r="C219" i="23"/>
  <c r="C242" i="23" s="1"/>
  <c r="C218" i="23"/>
  <c r="B218" i="23"/>
  <c r="H18" i="11"/>
  <c r="G18" i="11"/>
  <c r="G95" i="11" s="1"/>
  <c r="F18" i="11"/>
  <c r="E18" i="11"/>
  <c r="E95" i="11" s="1"/>
  <c r="D18" i="11"/>
  <c r="J24" i="6"/>
  <c r="K24" i="6" s="1"/>
  <c r="L24" i="6" s="1"/>
  <c r="M24" i="6" s="1"/>
  <c r="J22" i="6"/>
  <c r="K22" i="6" s="1"/>
  <c r="L22" i="6" s="1"/>
  <c r="M22" i="6" s="1"/>
  <c r="I123" i="13" l="1"/>
  <c r="C39" i="18"/>
  <c r="G15" i="18"/>
  <c r="G11" i="18"/>
  <c r="H15" i="18"/>
  <c r="H11" i="18"/>
  <c r="I103" i="13"/>
  <c r="M567" i="23"/>
  <c r="N79" i="13"/>
  <c r="F133" i="11"/>
  <c r="E133" i="11"/>
  <c r="M552" i="23"/>
  <c r="J108" i="13" s="1"/>
  <c r="I19" i="18" s="1"/>
  <c r="I108" i="13"/>
  <c r="H19" i="18" s="1"/>
  <c r="E53" i="13"/>
  <c r="F53" i="13"/>
  <c r="D133" i="11"/>
  <c r="H133" i="11"/>
  <c r="G133" i="11"/>
  <c r="D53" i="13"/>
  <c r="G53" i="13"/>
  <c r="M663" i="23"/>
  <c r="N663" i="23"/>
  <c r="H713" i="23"/>
  <c r="D114" i="6" s="1"/>
  <c r="H712" i="23"/>
  <c r="D106" i="6" s="1"/>
  <c r="D712" i="23"/>
  <c r="D713" i="23"/>
  <c r="G713" i="23"/>
  <c r="C114" i="6" s="1"/>
  <c r="G712" i="23"/>
  <c r="C106" i="6" s="1"/>
  <c r="K712" i="23"/>
  <c r="G106" i="6" s="1"/>
  <c r="K713" i="23"/>
  <c r="G114" i="6" s="1"/>
  <c r="F712" i="23"/>
  <c r="F713" i="23"/>
  <c r="C712" i="23"/>
  <c r="C713" i="23"/>
  <c r="I712" i="23"/>
  <c r="E106" i="6" s="1"/>
  <c r="I713" i="23"/>
  <c r="E114" i="6" s="1"/>
  <c r="E712" i="23"/>
  <c r="E713" i="23"/>
  <c r="J712" i="23"/>
  <c r="F106" i="6" s="1"/>
  <c r="J713" i="23"/>
  <c r="F114" i="6" s="1"/>
  <c r="H53" i="13"/>
  <c r="N458" i="23"/>
  <c r="M458" i="23"/>
  <c r="D43" i="11"/>
  <c r="F43" i="11"/>
  <c r="G59" i="6"/>
  <c r="G60" i="6" s="1"/>
  <c r="G43" i="11"/>
  <c r="N644" i="23"/>
  <c r="M644" i="23"/>
  <c r="D59" i="6"/>
  <c r="D60" i="6" s="1"/>
  <c r="E43" i="11"/>
  <c r="D561" i="23"/>
  <c r="D65" i="11"/>
  <c r="M635" i="23"/>
  <c r="N636" i="23"/>
  <c r="M630" i="23"/>
  <c r="N630" i="23"/>
  <c r="N631" i="23"/>
  <c r="M631" i="23"/>
  <c r="M636" i="23"/>
  <c r="N634" i="23"/>
  <c r="M634" i="23"/>
  <c r="N635" i="23"/>
  <c r="H57" i="11"/>
  <c r="E65" i="11"/>
  <c r="E79" i="6"/>
  <c r="E80" i="6" s="1"/>
  <c r="N484" i="23"/>
  <c r="G57" i="11"/>
  <c r="L553" i="23"/>
  <c r="L555" i="23" s="1"/>
  <c r="C556" i="23" s="1"/>
  <c r="D79" i="6"/>
  <c r="D80" i="6" s="1"/>
  <c r="M484" i="23"/>
  <c r="N586" i="23"/>
  <c r="D57" i="11"/>
  <c r="M586" i="23"/>
  <c r="G91" i="6"/>
  <c r="G92" i="6" s="1"/>
  <c r="H65" i="11"/>
  <c r="E91" i="6"/>
  <c r="E92" i="6" s="1"/>
  <c r="F65" i="11"/>
  <c r="F91" i="6"/>
  <c r="F92" i="6" s="1"/>
  <c r="G65" i="11"/>
  <c r="N598" i="23"/>
  <c r="M598" i="23"/>
  <c r="N482" i="23"/>
  <c r="M482" i="23"/>
  <c r="E362" i="23"/>
  <c r="E364" i="23" s="1"/>
  <c r="E368" i="23" s="1"/>
  <c r="N470" i="23"/>
  <c r="M475" i="23"/>
  <c r="M470" i="23"/>
  <c r="M501" i="23"/>
  <c r="N501" i="23"/>
  <c r="N506" i="23"/>
  <c r="M506" i="23"/>
  <c r="N500" i="23"/>
  <c r="M500" i="23"/>
  <c r="N499" i="23"/>
  <c r="M499" i="23"/>
  <c r="M450" i="23"/>
  <c r="N475" i="23"/>
  <c r="J360" i="23"/>
  <c r="M360" i="23" s="1"/>
  <c r="M440" i="23"/>
  <c r="N450" i="23"/>
  <c r="N440" i="23"/>
  <c r="I303" i="23"/>
  <c r="I308" i="23"/>
  <c r="I310" i="23" s="1"/>
  <c r="K362" i="23"/>
  <c r="K364" i="23" s="1"/>
  <c r="K368" i="23" s="1"/>
  <c r="F307" i="23"/>
  <c r="F309" i="23" s="1"/>
  <c r="F314" i="23" s="1"/>
  <c r="F308" i="23"/>
  <c r="F310" i="23" s="1"/>
  <c r="D308" i="23"/>
  <c r="D310" i="23" s="1"/>
  <c r="F362" i="23"/>
  <c r="F364" i="23" s="1"/>
  <c r="F368" i="23" s="1"/>
  <c r="H362" i="23"/>
  <c r="H364" i="23" s="1"/>
  <c r="H368" i="23" s="1"/>
  <c r="D303" i="23"/>
  <c r="G362" i="23"/>
  <c r="G364" i="23" s="1"/>
  <c r="G368" i="23" s="1"/>
  <c r="I362" i="23"/>
  <c r="I364" i="23" s="1"/>
  <c r="I368" i="23" s="1"/>
  <c r="D362" i="23"/>
  <c r="E307" i="23"/>
  <c r="E309" i="23" s="1"/>
  <c r="H307" i="23"/>
  <c r="H309" i="23" s="1"/>
  <c r="H314" i="23" s="1"/>
  <c r="H303" i="23"/>
  <c r="E308" i="23"/>
  <c r="E310" i="23" s="1"/>
  <c r="N297" i="23"/>
  <c r="M297" i="23"/>
  <c r="G308" i="23"/>
  <c r="G310" i="23" s="1"/>
  <c r="N356" i="23"/>
  <c r="M356" i="23"/>
  <c r="J307" i="23"/>
  <c r="J309" i="23" s="1"/>
  <c r="J314" i="23" s="1"/>
  <c r="J303" i="23"/>
  <c r="G307" i="23"/>
  <c r="G309" i="23" s="1"/>
  <c r="G314" i="23" s="1"/>
  <c r="M353" i="23"/>
  <c r="N353" i="23"/>
  <c r="K307" i="23"/>
  <c r="K309" i="23" s="1"/>
  <c r="K314" i="23" s="1"/>
  <c r="K303" i="23"/>
  <c r="N300" i="23"/>
  <c r="M300" i="23"/>
  <c r="H11" i="13"/>
  <c r="H95" i="11"/>
  <c r="D11" i="13"/>
  <c r="D95" i="11"/>
  <c r="F11" i="13"/>
  <c r="F95" i="11"/>
  <c r="K308" i="23"/>
  <c r="K310" i="23" s="1"/>
  <c r="H308" i="23"/>
  <c r="H310" i="23" s="1"/>
  <c r="J308" i="23"/>
  <c r="J310" i="23" s="1"/>
  <c r="E33" i="6"/>
  <c r="E34" i="6" s="1"/>
  <c r="F25" i="11"/>
  <c r="G245" i="23"/>
  <c r="C50" i="6" s="1"/>
  <c r="C51" i="6" s="1"/>
  <c r="C52" i="6" s="1"/>
  <c r="D25" i="11"/>
  <c r="E25" i="11"/>
  <c r="G25" i="11"/>
  <c r="H25" i="11"/>
  <c r="C245" i="23"/>
  <c r="F245" i="23"/>
  <c r="J245" i="23"/>
  <c r="F50" i="6" s="1"/>
  <c r="F51" i="6" s="1"/>
  <c r="F52" i="6" s="1"/>
  <c r="K245" i="23"/>
  <c r="G50" i="6" s="1"/>
  <c r="G51" i="6" s="1"/>
  <c r="G52" i="6" s="1"/>
  <c r="C246" i="23"/>
  <c r="H245" i="23"/>
  <c r="D50" i="6" s="1"/>
  <c r="D51" i="6" s="1"/>
  <c r="D52" i="6" s="1"/>
  <c r="D244" i="23"/>
  <c r="I245" i="23"/>
  <c r="E50" i="6" s="1"/>
  <c r="E51" i="6" s="1"/>
  <c r="E52" i="6" s="1"/>
  <c r="H244" i="23"/>
  <c r="D44" i="6" s="1"/>
  <c r="D45" i="6" s="1"/>
  <c r="D46" i="6" s="1"/>
  <c r="D245" i="23"/>
  <c r="E245" i="23"/>
  <c r="E244" i="23"/>
  <c r="F244" i="23"/>
  <c r="G244" i="23"/>
  <c r="C44" i="6" s="1"/>
  <c r="C45" i="6" s="1"/>
  <c r="C46" i="6" s="1"/>
  <c r="I244" i="23"/>
  <c r="E44" i="6" s="1"/>
  <c r="E45" i="6" s="1"/>
  <c r="E46" i="6" s="1"/>
  <c r="J244" i="23"/>
  <c r="F44" i="6" s="1"/>
  <c r="F45" i="6" s="1"/>
  <c r="F46" i="6" s="1"/>
  <c r="C244" i="23"/>
  <c r="K244" i="23"/>
  <c r="G44" i="6" s="1"/>
  <c r="G45" i="6" s="1"/>
  <c r="G46" i="6" s="1"/>
  <c r="F243" i="23"/>
  <c r="G243" i="23"/>
  <c r="C38" i="6" s="1"/>
  <c r="C39" i="6" s="1"/>
  <c r="C40" i="6" s="1"/>
  <c r="H243" i="23"/>
  <c r="D38" i="6" s="1"/>
  <c r="D39" i="6" s="1"/>
  <c r="D40" i="6" s="1"/>
  <c r="I243" i="23"/>
  <c r="E38" i="6" s="1"/>
  <c r="J243" i="23"/>
  <c r="F38" i="6" s="1"/>
  <c r="F39" i="6" s="1"/>
  <c r="F40" i="6" s="1"/>
  <c r="C243" i="23"/>
  <c r="K243" i="23"/>
  <c r="G38" i="6" s="1"/>
  <c r="D243" i="23"/>
  <c r="E243" i="23"/>
  <c r="N242" i="23"/>
  <c r="M242" i="23"/>
  <c r="G246" i="23"/>
  <c r="H35" i="6"/>
  <c r="I25" i="11" s="1"/>
  <c r="I260" i="23"/>
  <c r="F246" i="23"/>
  <c r="F249" i="23"/>
  <c r="H246" i="23"/>
  <c r="F257" i="23"/>
  <c r="I246" i="23"/>
  <c r="J246" i="23"/>
  <c r="K246" i="23"/>
  <c r="D246" i="23"/>
  <c r="E246" i="23"/>
  <c r="J251" i="23"/>
  <c r="C250" i="23"/>
  <c r="D252" i="23"/>
  <c r="J253" i="23"/>
  <c r="I254" i="23"/>
  <c r="I249" i="23"/>
  <c r="C252" i="23"/>
  <c r="K253" i="23"/>
  <c r="C258" i="23"/>
  <c r="K260" i="23"/>
  <c r="E250" i="23"/>
  <c r="F252" i="23"/>
  <c r="J254" i="23"/>
  <c r="F258" i="23"/>
  <c r="F250" i="23"/>
  <c r="I252" i="23"/>
  <c r="F255" i="23"/>
  <c r="K258" i="23"/>
  <c r="I250" i="23"/>
  <c r="K252" i="23"/>
  <c r="H255" i="23"/>
  <c r="D259" i="23"/>
  <c r="K250" i="23"/>
  <c r="C253" i="23"/>
  <c r="I255" i="23"/>
  <c r="C260" i="23"/>
  <c r="E258" i="23"/>
  <c r="D249" i="23"/>
  <c r="D251" i="23"/>
  <c r="F253" i="23"/>
  <c r="D257" i="23"/>
  <c r="D260" i="23"/>
  <c r="G256" i="23"/>
  <c r="E251" i="23"/>
  <c r="H256" i="23"/>
  <c r="G257" i="23"/>
  <c r="E259" i="23"/>
  <c r="H249" i="23"/>
  <c r="G250" i="23"/>
  <c r="F251" i="23"/>
  <c r="E252" i="23"/>
  <c r="D253" i="23"/>
  <c r="C254" i="23"/>
  <c r="K254" i="23"/>
  <c r="J255" i="23"/>
  <c r="I256" i="23"/>
  <c r="H257" i="23"/>
  <c r="G258" i="23"/>
  <c r="F259" i="23"/>
  <c r="E260" i="23"/>
  <c r="H250" i="23"/>
  <c r="G251" i="23"/>
  <c r="E253" i="23"/>
  <c r="D254" i="23"/>
  <c r="C255" i="23"/>
  <c r="K255" i="23"/>
  <c r="J256" i="23"/>
  <c r="I257" i="23"/>
  <c r="H258" i="23"/>
  <c r="G259" i="23"/>
  <c r="F260" i="23"/>
  <c r="H251" i="23"/>
  <c r="G252" i="23"/>
  <c r="E254" i="23"/>
  <c r="D255" i="23"/>
  <c r="C256" i="23"/>
  <c r="K256" i="23"/>
  <c r="J257" i="23"/>
  <c r="I258" i="23"/>
  <c r="H259" i="23"/>
  <c r="G260" i="23"/>
  <c r="G249" i="23"/>
  <c r="J249" i="23"/>
  <c r="C249" i="23"/>
  <c r="K249" i="23"/>
  <c r="J250" i="23"/>
  <c r="I251" i="23"/>
  <c r="H252" i="23"/>
  <c r="G253" i="23"/>
  <c r="F254" i="23"/>
  <c r="E255" i="23"/>
  <c r="D256" i="23"/>
  <c r="C257" i="23"/>
  <c r="K257" i="23"/>
  <c r="J258" i="23"/>
  <c r="I259" i="23"/>
  <c r="H260" i="23"/>
  <c r="H253" i="23"/>
  <c r="G254" i="23"/>
  <c r="E256" i="23"/>
  <c r="J259" i="23"/>
  <c r="E249" i="23"/>
  <c r="D250" i="23"/>
  <c r="C251" i="23"/>
  <c r="K251" i="23"/>
  <c r="J252" i="23"/>
  <c r="H220" i="23"/>
  <c r="I220" i="23"/>
  <c r="J220" i="23"/>
  <c r="K220" i="23"/>
  <c r="G220" i="23"/>
  <c r="O219" i="23"/>
  <c r="E11" i="13"/>
  <c r="G11" i="13"/>
  <c r="E220" i="23"/>
  <c r="F220" i="23"/>
  <c r="D220" i="23"/>
  <c r="M219" i="23"/>
  <c r="N219" i="23"/>
  <c r="M25" i="6"/>
  <c r="M27" i="6" s="1"/>
  <c r="N20" i="11" s="1"/>
  <c r="K25" i="6"/>
  <c r="K27" i="6" s="1"/>
  <c r="L20" i="11" s="1"/>
  <c r="J25" i="6"/>
  <c r="J27" i="6" s="1"/>
  <c r="K20" i="11" s="1"/>
  <c r="I25" i="6"/>
  <c r="I27" i="6" s="1"/>
  <c r="J20" i="11" s="1"/>
  <c r="H25" i="6"/>
  <c r="H27" i="6" s="1"/>
  <c r="I20" i="11" s="1"/>
  <c r="B25" i="6"/>
  <c r="L25" i="6"/>
  <c r="L27" i="6" s="1"/>
  <c r="M20" i="11" s="1"/>
  <c r="F191" i="23"/>
  <c r="C125" i="23"/>
  <c r="B125" i="23"/>
  <c r="K22" i="21"/>
  <c r="J22" i="21"/>
  <c r="I22" i="21"/>
  <c r="H22" i="21"/>
  <c r="G22" i="21"/>
  <c r="F22" i="21"/>
  <c r="E22" i="21"/>
  <c r="D22" i="21"/>
  <c r="C22" i="21"/>
  <c r="K21" i="21"/>
  <c r="J21" i="21"/>
  <c r="I21" i="21"/>
  <c r="H21" i="21"/>
  <c r="G21" i="21"/>
  <c r="F21" i="21"/>
  <c r="E21" i="21"/>
  <c r="D21" i="21"/>
  <c r="C21" i="21"/>
  <c r="K10" i="21"/>
  <c r="K20" i="21" s="1"/>
  <c r="J10" i="21"/>
  <c r="J19" i="21" s="1"/>
  <c r="I10" i="21"/>
  <c r="I20" i="21" s="1"/>
  <c r="H10" i="21"/>
  <c r="H20" i="21" s="1"/>
  <c r="G10" i="21"/>
  <c r="G20" i="21" s="1"/>
  <c r="F10" i="21"/>
  <c r="F20" i="21" s="1"/>
  <c r="E10" i="21"/>
  <c r="E19" i="21" s="1"/>
  <c r="D10" i="21"/>
  <c r="D20" i="21" s="1"/>
  <c r="C10" i="21"/>
  <c r="C20" i="21" s="1"/>
  <c r="K16" i="21"/>
  <c r="J16" i="21"/>
  <c r="I16" i="21"/>
  <c r="E27" i="6" s="1"/>
  <c r="H16" i="21"/>
  <c r="G16" i="21"/>
  <c r="F16" i="21"/>
  <c r="F17" i="21" s="1"/>
  <c r="F126" i="23" s="1"/>
  <c r="E16" i="21"/>
  <c r="E17" i="21" s="1"/>
  <c r="E126" i="23" s="1"/>
  <c r="D16" i="21"/>
  <c r="D17" i="21" s="1"/>
  <c r="D126" i="23" s="1"/>
  <c r="C16" i="21"/>
  <c r="C17" i="21" s="1"/>
  <c r="C126" i="23" s="1"/>
  <c r="H11" i="11"/>
  <c r="G11" i="11"/>
  <c r="F11" i="11"/>
  <c r="E11" i="11"/>
  <c r="D11" i="11"/>
  <c r="K4" i="21"/>
  <c r="G14" i="6" s="1"/>
  <c r="G15" i="6" s="1"/>
  <c r="G16" i="6" s="1"/>
  <c r="J4" i="21"/>
  <c r="F14" i="6" s="1"/>
  <c r="F15" i="6" s="1"/>
  <c r="F16" i="6" s="1"/>
  <c r="I4" i="21"/>
  <c r="E14" i="6" s="1"/>
  <c r="E15" i="6" s="1"/>
  <c r="E16" i="6" s="1"/>
  <c r="H4" i="21"/>
  <c r="D14" i="6" s="1"/>
  <c r="D15" i="6" s="1"/>
  <c r="D16" i="6" s="1"/>
  <c r="G4" i="21"/>
  <c r="C14" i="6" s="1"/>
  <c r="C15" i="6" s="1"/>
  <c r="C16" i="6" s="1"/>
  <c r="F4" i="21"/>
  <c r="E4" i="21"/>
  <c r="D4" i="21"/>
  <c r="D2" i="21"/>
  <c r="D125" i="23" s="1"/>
  <c r="B17" i="6"/>
  <c r="M17" i="6"/>
  <c r="N13" i="11" s="1"/>
  <c r="I17" i="6"/>
  <c r="J13" i="11" s="1"/>
  <c r="H17" i="6"/>
  <c r="I13" i="11" s="1"/>
  <c r="D50" i="23"/>
  <c r="C23" i="23"/>
  <c r="G98" i="13" l="1"/>
  <c r="E98" i="13"/>
  <c r="F98" i="13"/>
  <c r="H13" i="11"/>
  <c r="F13" i="11"/>
  <c r="G13" i="11"/>
  <c r="E13" i="11"/>
  <c r="E138" i="11"/>
  <c r="H8" i="26" s="1"/>
  <c r="G138" i="11"/>
  <c r="J8" i="26" s="1"/>
  <c r="F138" i="11"/>
  <c r="I8" i="26" s="1"/>
  <c r="H138" i="11"/>
  <c r="K8" i="26" s="1"/>
  <c r="D138" i="11"/>
  <c r="G8" i="26" s="1"/>
  <c r="E97" i="13"/>
  <c r="F97" i="13"/>
  <c r="G97" i="13"/>
  <c r="G115" i="6"/>
  <c r="G116" i="6" s="1"/>
  <c r="H121" i="11"/>
  <c r="H120" i="11" s="1"/>
  <c r="G107" i="6"/>
  <c r="G108" i="6" s="1"/>
  <c r="H143" i="11"/>
  <c r="H142" i="11" s="1"/>
  <c r="E115" i="6"/>
  <c r="E116" i="6" s="1"/>
  <c r="F121" i="11"/>
  <c r="F120" i="11" s="1"/>
  <c r="C107" i="6"/>
  <c r="C108" i="6" s="1"/>
  <c r="D143" i="11"/>
  <c r="D142" i="11" s="1"/>
  <c r="E107" i="6"/>
  <c r="E108" i="6" s="1"/>
  <c r="F143" i="11"/>
  <c r="F142" i="11" s="1"/>
  <c r="C115" i="6"/>
  <c r="C116" i="6" s="1"/>
  <c r="D121" i="11"/>
  <c r="D120" i="11" s="1"/>
  <c r="N713" i="23"/>
  <c r="M713" i="23"/>
  <c r="N712" i="23"/>
  <c r="M712" i="23"/>
  <c r="G121" i="11"/>
  <c r="G120" i="11" s="1"/>
  <c r="F115" i="6"/>
  <c r="F116" i="6" s="1"/>
  <c r="D107" i="6"/>
  <c r="D108" i="6" s="1"/>
  <c r="E143" i="11"/>
  <c r="E142" i="11" s="1"/>
  <c r="F107" i="6"/>
  <c r="F108" i="6" s="1"/>
  <c r="G143" i="11"/>
  <c r="G142" i="11" s="1"/>
  <c r="E121" i="11"/>
  <c r="E120" i="11" s="1"/>
  <c r="D115" i="6"/>
  <c r="D116" i="6" s="1"/>
  <c r="E110" i="11"/>
  <c r="E112" i="11" s="1"/>
  <c r="D110" i="11"/>
  <c r="D112" i="11" s="1"/>
  <c r="F110" i="11"/>
  <c r="F112" i="11" s="1"/>
  <c r="G110" i="11"/>
  <c r="G112" i="11" s="1"/>
  <c r="C66" i="6"/>
  <c r="C67" i="6" s="1"/>
  <c r="C68" i="6" s="1"/>
  <c r="H110" i="11"/>
  <c r="H112" i="11" s="1"/>
  <c r="D44" i="11"/>
  <c r="F44" i="11"/>
  <c r="G44" i="11"/>
  <c r="H44" i="11"/>
  <c r="E44" i="11"/>
  <c r="J71" i="11"/>
  <c r="J72" i="11" s="1"/>
  <c r="M553" i="23" s="1"/>
  <c r="M554" i="23" s="1"/>
  <c r="D66" i="11"/>
  <c r="D58" i="13" s="1"/>
  <c r="D75" i="11"/>
  <c r="E75" i="11"/>
  <c r="F75" i="11"/>
  <c r="G75" i="11"/>
  <c r="H75" i="11"/>
  <c r="H66" i="11"/>
  <c r="H58" i="13" s="1"/>
  <c r="G66" i="11"/>
  <c r="G58" i="13" s="1"/>
  <c r="E66" i="11"/>
  <c r="E58" i="13" s="1"/>
  <c r="F66" i="11"/>
  <c r="F58" i="13" s="1"/>
  <c r="E105" i="11"/>
  <c r="E107" i="11" s="1"/>
  <c r="E58" i="11"/>
  <c r="E59" i="13" s="1"/>
  <c r="F105" i="11"/>
  <c r="F107" i="11" s="1"/>
  <c r="F58" i="11"/>
  <c r="F59" i="13" s="1"/>
  <c r="G105" i="11"/>
  <c r="G107" i="11" s="1"/>
  <c r="G58" i="11"/>
  <c r="G59" i="13" s="1"/>
  <c r="H105" i="11"/>
  <c r="H107" i="11" s="1"/>
  <c r="H58" i="11"/>
  <c r="H59" i="13" s="1"/>
  <c r="D105" i="11"/>
  <c r="D107" i="11" s="1"/>
  <c r="D58" i="11"/>
  <c r="D59" i="13" s="1"/>
  <c r="N360" i="23"/>
  <c r="G90" i="11"/>
  <c r="G100" i="11"/>
  <c r="G102" i="11" s="1"/>
  <c r="F90" i="11"/>
  <c r="F100" i="11"/>
  <c r="F102" i="11" s="1"/>
  <c r="H90" i="11"/>
  <c r="H100" i="11"/>
  <c r="H102" i="11" s="1"/>
  <c r="D90" i="11"/>
  <c r="D100" i="11"/>
  <c r="D102" i="11" s="1"/>
  <c r="E90" i="11"/>
  <c r="E100" i="11"/>
  <c r="E102" i="11" s="1"/>
  <c r="N362" i="23"/>
  <c r="D364" i="23"/>
  <c r="M364" i="23" s="1"/>
  <c r="M362" i="23"/>
  <c r="N308" i="23"/>
  <c r="N303" i="23"/>
  <c r="M308" i="23"/>
  <c r="M303" i="23"/>
  <c r="N307" i="23"/>
  <c r="M310" i="23"/>
  <c r="N310" i="23"/>
  <c r="M307" i="23"/>
  <c r="E314" i="23"/>
  <c r="N309" i="23"/>
  <c r="M309" i="23"/>
  <c r="G33" i="11"/>
  <c r="G34" i="11" s="1"/>
  <c r="G19" i="13" s="1"/>
  <c r="G29" i="11"/>
  <c r="G30" i="11" s="1"/>
  <c r="G18" i="13" s="1"/>
  <c r="F33" i="11"/>
  <c r="F34" i="11" s="1"/>
  <c r="F19" i="13" s="1"/>
  <c r="D33" i="11"/>
  <c r="D34" i="11" s="1"/>
  <c r="D19" i="13" s="1"/>
  <c r="F37" i="11"/>
  <c r="F38" i="11" s="1"/>
  <c r="F20" i="13" s="1"/>
  <c r="H33" i="11"/>
  <c r="H34" i="11" s="1"/>
  <c r="H19" i="13" s="1"/>
  <c r="D37" i="11"/>
  <c r="D38" i="11" s="1"/>
  <c r="D20" i="13" s="1"/>
  <c r="G39" i="6"/>
  <c r="G40" i="6" s="1"/>
  <c r="H29" i="11"/>
  <c r="H30" i="11" s="1"/>
  <c r="H18" i="13" s="1"/>
  <c r="D29" i="11"/>
  <c r="D30" i="11" s="1"/>
  <c r="D18" i="13" s="1"/>
  <c r="E39" i="6"/>
  <c r="E40" i="6" s="1"/>
  <c r="F29" i="11"/>
  <c r="F30" i="11" s="1"/>
  <c r="F18" i="13" s="1"/>
  <c r="E29" i="11"/>
  <c r="E30" i="11" s="1"/>
  <c r="E18" i="13" s="1"/>
  <c r="G37" i="11"/>
  <c r="G38" i="11" s="1"/>
  <c r="G20" i="13" s="1"/>
  <c r="E33" i="11"/>
  <c r="E34" i="11" s="1"/>
  <c r="E19" i="13" s="1"/>
  <c r="E37" i="11"/>
  <c r="E38" i="11" s="1"/>
  <c r="E20" i="13" s="1"/>
  <c r="H37" i="11"/>
  <c r="H38" i="11" s="1"/>
  <c r="H20" i="13" s="1"/>
  <c r="E26" i="11"/>
  <c r="E17" i="13" s="1"/>
  <c r="G26" i="11"/>
  <c r="G17" i="13" s="1"/>
  <c r="H10" i="13"/>
  <c r="H26" i="11"/>
  <c r="H17" i="13" s="1"/>
  <c r="F10" i="13"/>
  <c r="F11" i="29" s="1"/>
  <c r="F26" i="11"/>
  <c r="F17" i="13" s="1"/>
  <c r="D10" i="13"/>
  <c r="D11" i="29" s="1"/>
  <c r="D26" i="11"/>
  <c r="D17" i="13" s="1"/>
  <c r="E10" i="13"/>
  <c r="G10" i="13"/>
  <c r="M245" i="23"/>
  <c r="N245" i="23"/>
  <c r="M244" i="23"/>
  <c r="N244" i="23"/>
  <c r="N243" i="23"/>
  <c r="M243" i="23"/>
  <c r="M250" i="23"/>
  <c r="N246" i="23"/>
  <c r="M246" i="23"/>
  <c r="N250" i="23"/>
  <c r="N259" i="23"/>
  <c r="M259" i="23"/>
  <c r="N255" i="23"/>
  <c r="M255" i="23"/>
  <c r="M253" i="23"/>
  <c r="N253" i="23"/>
  <c r="N258" i="23"/>
  <c r="M258" i="23"/>
  <c r="N251" i="23"/>
  <c r="M251" i="23"/>
  <c r="N252" i="23"/>
  <c r="M252" i="23"/>
  <c r="M257" i="23"/>
  <c r="N257" i="23"/>
  <c r="N254" i="23"/>
  <c r="M254" i="23"/>
  <c r="M249" i="23"/>
  <c r="N249" i="23"/>
  <c r="N256" i="23"/>
  <c r="M256" i="23"/>
  <c r="E20" i="21"/>
  <c r="H19" i="21"/>
  <c r="H20" i="11"/>
  <c r="I17" i="21"/>
  <c r="I126" i="23" s="1"/>
  <c r="F19" i="21"/>
  <c r="G19" i="21"/>
  <c r="G20" i="11"/>
  <c r="G17" i="21"/>
  <c r="C27" i="6"/>
  <c r="H17" i="21"/>
  <c r="D27" i="6"/>
  <c r="I19" i="21"/>
  <c r="F20" i="11"/>
  <c r="J20" i="21"/>
  <c r="D20" i="11"/>
  <c r="J17" i="21"/>
  <c r="F27" i="6"/>
  <c r="C19" i="21"/>
  <c r="K19" i="21"/>
  <c r="K17" i="21"/>
  <c r="G27" i="6"/>
  <c r="D19" i="21"/>
  <c r="E2" i="21"/>
  <c r="E6" i="23" s="1"/>
  <c r="D218" i="23"/>
  <c r="E20" i="11"/>
  <c r="I11" i="11"/>
  <c r="K7" i="23"/>
  <c r="J7" i="23"/>
  <c r="I7" i="23"/>
  <c r="H7" i="23"/>
  <c r="G7" i="23"/>
  <c r="F7" i="23"/>
  <c r="E7" i="23"/>
  <c r="D7" i="23"/>
  <c r="C7" i="23"/>
  <c r="D6" i="23"/>
  <c r="C6" i="23"/>
  <c r="B6" i="23"/>
  <c r="C24" i="21"/>
  <c r="C25" i="21" s="1"/>
  <c r="D24" i="21"/>
  <c r="D25" i="21" s="1"/>
  <c r="E24" i="21"/>
  <c r="E25" i="21" s="1"/>
  <c r="F24" i="21"/>
  <c r="F25" i="21" s="1"/>
  <c r="G24" i="21"/>
  <c r="G25" i="21" s="1"/>
  <c r="H24" i="21"/>
  <c r="H25" i="21" s="1"/>
  <c r="I24" i="21"/>
  <c r="I25" i="21" s="1"/>
  <c r="J24" i="21"/>
  <c r="J25" i="21" s="1"/>
  <c r="K24" i="21"/>
  <c r="C34" i="21"/>
  <c r="C222" i="23" s="1"/>
  <c r="D34" i="21"/>
  <c r="D222" i="23" s="1"/>
  <c r="E34" i="21"/>
  <c r="E222" i="23" s="1"/>
  <c r="F34" i="21"/>
  <c r="F222" i="23" s="1"/>
  <c r="G34" i="21"/>
  <c r="G222" i="23" s="1"/>
  <c r="H34" i="21"/>
  <c r="H222" i="23" s="1"/>
  <c r="I34" i="21"/>
  <c r="I222" i="23" s="1"/>
  <c r="J34" i="21"/>
  <c r="J222" i="23" s="1"/>
  <c r="K34" i="21"/>
  <c r="K222" i="23" s="1"/>
  <c r="C48" i="21"/>
  <c r="D48" i="21"/>
  <c r="E48" i="21"/>
  <c r="F48" i="21"/>
  <c r="G48" i="21"/>
  <c r="H48" i="21"/>
  <c r="I48" i="21"/>
  <c r="J48" i="21"/>
  <c r="K48" i="21"/>
  <c r="C49" i="21"/>
  <c r="D49" i="21"/>
  <c r="E49" i="21"/>
  <c r="F49" i="21"/>
  <c r="G49" i="21"/>
  <c r="H49" i="21"/>
  <c r="I49" i="21"/>
  <c r="J49" i="21"/>
  <c r="K49" i="21"/>
  <c r="H17" i="29" l="1"/>
  <c r="H19" i="29"/>
  <c r="E19" i="29"/>
  <c r="F17" i="29"/>
  <c r="F19" i="29"/>
  <c r="H20" i="29"/>
  <c r="H18" i="29"/>
  <c r="E20" i="29"/>
  <c r="G10" i="29"/>
  <c r="G25" i="29"/>
  <c r="G34" i="29"/>
  <c r="G31" i="29"/>
  <c r="G30" i="29"/>
  <c r="G17" i="29"/>
  <c r="G11" i="29"/>
  <c r="E10" i="29"/>
  <c r="E30" i="29"/>
  <c r="E25" i="29"/>
  <c r="E34" i="29"/>
  <c r="E31" i="29"/>
  <c r="E17" i="29"/>
  <c r="D18" i="29"/>
  <c r="G18" i="29"/>
  <c r="D17" i="29"/>
  <c r="G19" i="29"/>
  <c r="D10" i="29"/>
  <c r="D25" i="29"/>
  <c r="D34" i="29"/>
  <c r="D30" i="29"/>
  <c r="D31" i="29"/>
  <c r="G20" i="29"/>
  <c r="E11" i="29"/>
  <c r="D20" i="29"/>
  <c r="F10" i="29"/>
  <c r="F34" i="29"/>
  <c r="F25" i="29"/>
  <c r="F30" i="29"/>
  <c r="F31" i="29"/>
  <c r="E18" i="29"/>
  <c r="F20" i="29"/>
  <c r="H10" i="29"/>
  <c r="H31" i="29"/>
  <c r="H30" i="29"/>
  <c r="H34" i="29"/>
  <c r="H25" i="29"/>
  <c r="F18" i="29"/>
  <c r="D19" i="29"/>
  <c r="H11" i="29"/>
  <c r="H37" i="13"/>
  <c r="K9" i="26"/>
  <c r="H105" i="13"/>
  <c r="I9" i="26"/>
  <c r="F105" i="13"/>
  <c r="G105" i="13"/>
  <c r="J9" i="26"/>
  <c r="G9" i="26"/>
  <c r="D105" i="13"/>
  <c r="H9" i="26"/>
  <c r="E105" i="13"/>
  <c r="G96" i="13"/>
  <c r="G37" i="13"/>
  <c r="E96" i="13"/>
  <c r="E37" i="13"/>
  <c r="F96" i="13"/>
  <c r="F37" i="13"/>
  <c r="G12" i="13"/>
  <c r="G12" i="29" s="1"/>
  <c r="E12" i="13"/>
  <c r="E12" i="29" s="1"/>
  <c r="H12" i="13"/>
  <c r="H12" i="29" s="1"/>
  <c r="D12" i="13"/>
  <c r="F12" i="13"/>
  <c r="F12" i="29" s="1"/>
  <c r="H145" i="11"/>
  <c r="H146" i="11" s="1"/>
  <c r="H148" i="11" s="1"/>
  <c r="H71" i="13"/>
  <c r="E145" i="11"/>
  <c r="E146" i="11" s="1"/>
  <c r="E148" i="11" s="1"/>
  <c r="E71" i="13"/>
  <c r="F145" i="11"/>
  <c r="F71" i="13"/>
  <c r="D145" i="11"/>
  <c r="D71" i="13"/>
  <c r="G145" i="11"/>
  <c r="G146" i="11" s="1"/>
  <c r="G148" i="11" s="1"/>
  <c r="G71" i="13"/>
  <c r="D82" i="13"/>
  <c r="E82" i="13"/>
  <c r="G82" i="13"/>
  <c r="F82" i="13"/>
  <c r="H82" i="13"/>
  <c r="I110" i="11"/>
  <c r="I111" i="11" s="1"/>
  <c r="I120" i="11"/>
  <c r="I145" i="11" s="1"/>
  <c r="D49" i="11"/>
  <c r="D50" i="11" s="1"/>
  <c r="D55" i="13" s="1"/>
  <c r="L557" i="23"/>
  <c r="I44" i="11"/>
  <c r="I31" i="13" s="1"/>
  <c r="J25" i="13"/>
  <c r="J70" i="11"/>
  <c r="D66" i="6"/>
  <c r="I62" i="11"/>
  <c r="I57" i="13" s="1"/>
  <c r="I66" i="11"/>
  <c r="I58" i="13" s="1"/>
  <c r="I105" i="11"/>
  <c r="I106" i="11" s="1"/>
  <c r="I50" i="13" s="1"/>
  <c r="I58" i="11"/>
  <c r="I59" i="13" s="1"/>
  <c r="I90" i="11"/>
  <c r="I100" i="11"/>
  <c r="N364" i="23"/>
  <c r="D368" i="23"/>
  <c r="H21" i="13"/>
  <c r="H21" i="29" s="1"/>
  <c r="D21" i="13"/>
  <c r="D21" i="29" s="1"/>
  <c r="E21" i="13"/>
  <c r="E21" i="29" s="1"/>
  <c r="G21" i="13"/>
  <c r="G21" i="29" s="1"/>
  <c r="F21" i="13"/>
  <c r="F21" i="29" s="1"/>
  <c r="I26" i="11"/>
  <c r="I17" i="13" s="1"/>
  <c r="I38" i="11"/>
  <c r="I20" i="13" s="1"/>
  <c r="I34" i="11"/>
  <c r="I19" i="13" s="1"/>
  <c r="I18" i="11"/>
  <c r="I115" i="11" s="1"/>
  <c r="I116" i="11" s="1"/>
  <c r="I30" i="11"/>
  <c r="I18" i="13" s="1"/>
  <c r="J223" i="23"/>
  <c r="I223" i="23"/>
  <c r="E22" i="6"/>
  <c r="E23" i="6" s="1"/>
  <c r="E24" i="6" s="1"/>
  <c r="E223" i="23"/>
  <c r="K223" i="23"/>
  <c r="K126" i="23"/>
  <c r="G22" i="6"/>
  <c r="G23" i="6" s="1"/>
  <c r="G24" i="6" s="1"/>
  <c r="F223" i="23"/>
  <c r="N222" i="23"/>
  <c r="F2" i="21"/>
  <c r="E218" i="23"/>
  <c r="G126" i="23"/>
  <c r="C22" i="6"/>
  <c r="C23" i="6" s="1"/>
  <c r="C24" i="6" s="1"/>
  <c r="E125" i="23"/>
  <c r="O222" i="23"/>
  <c r="D223" i="23"/>
  <c r="L19" i="21"/>
  <c r="M222" i="23"/>
  <c r="H223" i="23"/>
  <c r="H126" i="23"/>
  <c r="D22" i="6"/>
  <c r="D23" i="6" s="1"/>
  <c r="D24" i="6" s="1"/>
  <c r="G223" i="23"/>
  <c r="F22" i="6"/>
  <c r="F23" i="6" s="1"/>
  <c r="F24" i="6" s="1"/>
  <c r="J126" i="23"/>
  <c r="I10" i="13"/>
  <c r="C36" i="21"/>
  <c r="C40" i="21" s="1"/>
  <c r="J11" i="11"/>
  <c r="K36" i="21"/>
  <c r="K40" i="21" s="1"/>
  <c r="E36" i="21"/>
  <c r="E40" i="21" s="1"/>
  <c r="D36" i="21"/>
  <c r="D37" i="21" s="1"/>
  <c r="H36" i="21"/>
  <c r="H37" i="21" s="1"/>
  <c r="K25" i="21"/>
  <c r="I36" i="21"/>
  <c r="I40" i="21" s="1"/>
  <c r="F36" i="21"/>
  <c r="F40" i="21" s="1"/>
  <c r="G36" i="21"/>
  <c r="G37" i="21" s="1"/>
  <c r="G8" i="23"/>
  <c r="E8" i="23"/>
  <c r="D8" i="23"/>
  <c r="O7" i="23"/>
  <c r="F8" i="23"/>
  <c r="I8" i="23"/>
  <c r="M7" i="23"/>
  <c r="K8" i="23"/>
  <c r="H8" i="23"/>
  <c r="N7" i="23"/>
  <c r="J8" i="23"/>
  <c r="J36" i="21"/>
  <c r="H11" i="33" l="1"/>
  <c r="H14" i="33" s="1"/>
  <c r="H33" i="33" s="1"/>
  <c r="H36" i="33" s="1"/>
  <c r="H53" i="15"/>
  <c r="H66" i="15"/>
  <c r="H41" i="15"/>
  <c r="H45" i="15"/>
  <c r="H49" i="15"/>
  <c r="I91" i="11"/>
  <c r="I49" i="13" s="1"/>
  <c r="C38" i="18"/>
  <c r="C56" i="18" s="1"/>
  <c r="H106" i="13"/>
  <c r="G18" i="18"/>
  <c r="D106" i="13"/>
  <c r="C18" i="18"/>
  <c r="E106" i="13"/>
  <c r="D18" i="18"/>
  <c r="G106" i="13"/>
  <c r="F18" i="18"/>
  <c r="F106" i="13"/>
  <c r="E18" i="18"/>
  <c r="I11" i="18"/>
  <c r="I15" i="18"/>
  <c r="I20" i="29"/>
  <c r="I18" i="29"/>
  <c r="I31" i="29"/>
  <c r="H37" i="29"/>
  <c r="E87" i="13"/>
  <c r="E80" i="13"/>
  <c r="F87" i="13"/>
  <c r="F80" i="13"/>
  <c r="G87" i="13"/>
  <c r="F37" i="29"/>
  <c r="G38" i="29"/>
  <c r="G14" i="29"/>
  <c r="G37" i="29"/>
  <c r="I10" i="29"/>
  <c r="I25" i="29"/>
  <c r="E37" i="29"/>
  <c r="F38" i="29"/>
  <c r="F14" i="29"/>
  <c r="I19" i="29"/>
  <c r="D14" i="13"/>
  <c r="D12" i="29"/>
  <c r="D14" i="29" s="1"/>
  <c r="H38" i="29"/>
  <c r="H14" i="29"/>
  <c r="I17" i="29"/>
  <c r="J103" i="13"/>
  <c r="E14" i="29"/>
  <c r="E38" i="29"/>
  <c r="G23" i="13"/>
  <c r="F10" i="18" s="1"/>
  <c r="F12" i="18" s="1"/>
  <c r="F14" i="18" s="1"/>
  <c r="F16" i="18" s="1"/>
  <c r="F20" i="18" s="1"/>
  <c r="H23" i="13"/>
  <c r="G10" i="18" s="1"/>
  <c r="G12" i="18" s="1"/>
  <c r="G14" i="18" s="1"/>
  <c r="G16" i="18" s="1"/>
  <c r="E14" i="13"/>
  <c r="E38" i="13"/>
  <c r="E23" i="13"/>
  <c r="D10" i="18" s="1"/>
  <c r="D12" i="18" s="1"/>
  <c r="D14" i="18" s="1"/>
  <c r="D16" i="18" s="1"/>
  <c r="H14" i="13"/>
  <c r="H38" i="13"/>
  <c r="F14" i="13"/>
  <c r="F38" i="13"/>
  <c r="G14" i="13"/>
  <c r="G38" i="13"/>
  <c r="I37" i="13"/>
  <c r="D23" i="13"/>
  <c r="C10" i="18" s="1"/>
  <c r="C12" i="18" s="1"/>
  <c r="C14" i="18" s="1"/>
  <c r="C16" i="18" s="1"/>
  <c r="C20" i="18" s="1"/>
  <c r="F23" i="13"/>
  <c r="L787" i="23"/>
  <c r="L794" i="23" s="1"/>
  <c r="I124" i="11"/>
  <c r="I125" i="11" s="1"/>
  <c r="E153" i="11"/>
  <c r="E154" i="11" s="1"/>
  <c r="H153" i="11"/>
  <c r="H154" i="11" s="1"/>
  <c r="G153" i="11"/>
  <c r="G154" i="11" s="1"/>
  <c r="F146" i="11"/>
  <c r="F148" i="11" s="1"/>
  <c r="D146" i="11"/>
  <c r="D148" i="11" s="1"/>
  <c r="F153" i="11"/>
  <c r="F154" i="11" s="1"/>
  <c r="C560" i="23"/>
  <c r="L754" i="23"/>
  <c r="I153" i="11"/>
  <c r="H147" i="11"/>
  <c r="E147" i="11"/>
  <c r="G147" i="11"/>
  <c r="I51" i="13"/>
  <c r="I71" i="13"/>
  <c r="J110" i="11"/>
  <c r="J111" i="11" s="1"/>
  <c r="J120" i="11"/>
  <c r="J145" i="11" s="1"/>
  <c r="D54" i="11"/>
  <c r="D56" i="13" s="1"/>
  <c r="E41" i="21"/>
  <c r="F41" i="21"/>
  <c r="C41" i="21"/>
  <c r="M557" i="23"/>
  <c r="J44" i="11"/>
  <c r="J31" i="13" s="1"/>
  <c r="I41" i="21"/>
  <c r="K41" i="21"/>
  <c r="E66" i="6"/>
  <c r="D67" i="6"/>
  <c r="D68" i="6" s="1"/>
  <c r="E49" i="11"/>
  <c r="E50" i="11" s="1"/>
  <c r="J62" i="11"/>
  <c r="J57" i="13" s="1"/>
  <c r="J109" i="13" s="1"/>
  <c r="J66" i="11"/>
  <c r="J58" i="13" s="1"/>
  <c r="J105" i="11"/>
  <c r="J106" i="11" s="1"/>
  <c r="J50" i="13" s="1"/>
  <c r="J58" i="11"/>
  <c r="J59" i="13" s="1"/>
  <c r="J90" i="11"/>
  <c r="J100" i="11"/>
  <c r="I11" i="13"/>
  <c r="H74" i="15" s="1"/>
  <c r="I95" i="11"/>
  <c r="I21" i="13"/>
  <c r="I21" i="29" s="1"/>
  <c r="J34" i="11"/>
  <c r="J19" i="13" s="1"/>
  <c r="J38" i="11"/>
  <c r="J20" i="13" s="1"/>
  <c r="J18" i="11"/>
  <c r="J115" i="11" s="1"/>
  <c r="J116" i="11" s="1"/>
  <c r="J26" i="11"/>
  <c r="J17" i="13" s="1"/>
  <c r="J30" i="11"/>
  <c r="J18" i="13" s="1"/>
  <c r="P126" i="23"/>
  <c r="O126" i="23"/>
  <c r="N126" i="23"/>
  <c r="M126" i="23"/>
  <c r="G2" i="21"/>
  <c r="F218" i="23"/>
  <c r="F125" i="23"/>
  <c r="F6" i="23"/>
  <c r="J10" i="13"/>
  <c r="G40" i="21"/>
  <c r="C37" i="21"/>
  <c r="E37" i="21"/>
  <c r="D40" i="21"/>
  <c r="K37" i="21"/>
  <c r="H40" i="21"/>
  <c r="I37" i="21"/>
  <c r="F37" i="21"/>
  <c r="J40" i="21"/>
  <c r="J37" i="21"/>
  <c r="J25" i="29" l="1"/>
  <c r="I11" i="33"/>
  <c r="I14" i="33" s="1"/>
  <c r="I53" i="15"/>
  <c r="I41" i="15"/>
  <c r="I66" i="15"/>
  <c r="I45" i="15"/>
  <c r="I49" i="15"/>
  <c r="J91" i="11"/>
  <c r="J49" i="13" s="1"/>
  <c r="D20" i="18"/>
  <c r="G20" i="18"/>
  <c r="F23" i="29"/>
  <c r="F39" i="29" s="1"/>
  <c r="E10" i="18"/>
  <c r="E12" i="18" s="1"/>
  <c r="E14" i="18" s="1"/>
  <c r="E16" i="18" s="1"/>
  <c r="E20" i="18" s="1"/>
  <c r="J17" i="29"/>
  <c r="J20" i="29"/>
  <c r="J19" i="29"/>
  <c r="E95" i="13"/>
  <c r="F95" i="13"/>
  <c r="J31" i="29"/>
  <c r="D26" i="13"/>
  <c r="D23" i="29"/>
  <c r="E39" i="13"/>
  <c r="E23" i="29"/>
  <c r="E39" i="29" s="1"/>
  <c r="J37" i="13"/>
  <c r="J10" i="29"/>
  <c r="J37" i="29" s="1"/>
  <c r="I12" i="13"/>
  <c r="I11" i="29"/>
  <c r="H39" i="13"/>
  <c r="H23" i="29"/>
  <c r="H39" i="29" s="1"/>
  <c r="I37" i="29"/>
  <c r="J18" i="29"/>
  <c r="G39" i="13"/>
  <c r="G23" i="29"/>
  <c r="G39" i="29" s="1"/>
  <c r="G26" i="13"/>
  <c r="H26" i="13"/>
  <c r="C20" i="28" s="1"/>
  <c r="C21" i="28" s="1"/>
  <c r="E26" i="13"/>
  <c r="D28" i="13"/>
  <c r="F26" i="13"/>
  <c r="F26" i="29" s="1"/>
  <c r="F39" i="13"/>
  <c r="J124" i="11"/>
  <c r="F68" i="13"/>
  <c r="F91" i="13" s="1"/>
  <c r="F87" i="29" s="1"/>
  <c r="E68" i="13"/>
  <c r="E91" i="13" s="1"/>
  <c r="D560" i="23"/>
  <c r="M787" i="23"/>
  <c r="M794" i="23" s="1"/>
  <c r="D147" i="11"/>
  <c r="F147" i="11"/>
  <c r="L755" i="23"/>
  <c r="L757" i="23" s="1"/>
  <c r="J153" i="11"/>
  <c r="J51" i="13"/>
  <c r="J71" i="13"/>
  <c r="D41" i="21"/>
  <c r="J41" i="21"/>
  <c r="G41" i="21"/>
  <c r="H41" i="21"/>
  <c r="E55" i="13"/>
  <c r="E54" i="11"/>
  <c r="E56" i="13" s="1"/>
  <c r="E67" i="6"/>
  <c r="E68" i="6" s="1"/>
  <c r="F49" i="11"/>
  <c r="F50" i="11" s="1"/>
  <c r="J11" i="13"/>
  <c r="I74" i="15" s="1"/>
  <c r="J95" i="11"/>
  <c r="J96" i="11" s="1"/>
  <c r="J21" i="13"/>
  <c r="J21" i="29" s="1"/>
  <c r="G125" i="23"/>
  <c r="G218" i="23"/>
  <c r="C7" i="6"/>
  <c r="D6" i="13" s="1"/>
  <c r="C6" i="18" s="1"/>
  <c r="H2" i="21"/>
  <c r="D7" i="11"/>
  <c r="G6" i="23"/>
  <c r="L134" i="6"/>
  <c r="M85" i="11" s="1"/>
  <c r="K134" i="6"/>
  <c r="L85" i="11" s="1"/>
  <c r="J134" i="6"/>
  <c r="K85" i="11" s="1"/>
  <c r="I134" i="6"/>
  <c r="J85" i="11" s="1"/>
  <c r="H134" i="6"/>
  <c r="I85" i="11" s="1"/>
  <c r="L125" i="6"/>
  <c r="M152" i="11" s="1"/>
  <c r="K125" i="6"/>
  <c r="L152" i="11" s="1"/>
  <c r="J125" i="6"/>
  <c r="K152" i="11" s="1"/>
  <c r="I125" i="6"/>
  <c r="J152" i="11" s="1"/>
  <c r="H125" i="6"/>
  <c r="I152" i="11" s="1"/>
  <c r="I154" i="11" s="1"/>
  <c r="I30" i="13" s="1"/>
  <c r="H85" i="15" s="1"/>
  <c r="L109" i="6"/>
  <c r="M143" i="11" s="1"/>
  <c r="K109" i="6"/>
  <c r="L143" i="11" s="1"/>
  <c r="J109" i="6"/>
  <c r="K143" i="11" s="1"/>
  <c r="I109" i="6"/>
  <c r="J143" i="11" s="1"/>
  <c r="J142" i="11" s="1"/>
  <c r="H109" i="6"/>
  <c r="I143" i="11" s="1"/>
  <c r="I142" i="11" s="1"/>
  <c r="L101" i="6"/>
  <c r="K101" i="6"/>
  <c r="J101" i="6"/>
  <c r="I101" i="6"/>
  <c r="H101" i="6"/>
  <c r="I33" i="33" l="1"/>
  <c r="I36" i="33" s="1"/>
  <c r="I14" i="13"/>
  <c r="H40" i="15"/>
  <c r="I23" i="13"/>
  <c r="F83" i="29"/>
  <c r="F74" i="29"/>
  <c r="F84" i="29"/>
  <c r="F70" i="29"/>
  <c r="F76" i="29"/>
  <c r="F86" i="29"/>
  <c r="F77" i="29"/>
  <c r="F68" i="29"/>
  <c r="F75" i="29"/>
  <c r="F78" i="29"/>
  <c r="F72" i="29"/>
  <c r="F66" i="29"/>
  <c r="F73" i="29"/>
  <c r="F89" i="29"/>
  <c r="F85" i="29"/>
  <c r="F67" i="29"/>
  <c r="F79" i="29"/>
  <c r="F82" i="29"/>
  <c r="F71" i="29"/>
  <c r="F80" i="29"/>
  <c r="E79" i="29"/>
  <c r="E75" i="29"/>
  <c r="E78" i="29"/>
  <c r="E76" i="29"/>
  <c r="E83" i="29"/>
  <c r="E74" i="29"/>
  <c r="E84" i="29"/>
  <c r="E70" i="29"/>
  <c r="E85" i="29"/>
  <c r="E67" i="29"/>
  <c r="E86" i="29"/>
  <c r="E77" i="29"/>
  <c r="E68" i="29"/>
  <c r="E72" i="29"/>
  <c r="E66" i="29"/>
  <c r="E73" i="29"/>
  <c r="E89" i="29"/>
  <c r="E82" i="29"/>
  <c r="E71" i="29"/>
  <c r="E87" i="29"/>
  <c r="E80" i="29"/>
  <c r="I38" i="13"/>
  <c r="I12" i="29"/>
  <c r="F40" i="29"/>
  <c r="F28" i="29"/>
  <c r="E40" i="13"/>
  <c r="E26" i="29"/>
  <c r="D32" i="13"/>
  <c r="D26" i="29"/>
  <c r="D28" i="29" s="1"/>
  <c r="G40" i="13"/>
  <c r="G26" i="29"/>
  <c r="I117" i="13"/>
  <c r="I30" i="29"/>
  <c r="J12" i="13"/>
  <c r="J11" i="29"/>
  <c r="H40" i="13"/>
  <c r="H26" i="29"/>
  <c r="G32" i="13"/>
  <c r="H28" i="13"/>
  <c r="G28" i="13"/>
  <c r="H32" i="13"/>
  <c r="E32" i="13"/>
  <c r="E28" i="13"/>
  <c r="F28" i="13"/>
  <c r="F40" i="13"/>
  <c r="F32" i="13"/>
  <c r="F32" i="29" s="1"/>
  <c r="F41" i="29" s="1"/>
  <c r="L759" i="23"/>
  <c r="N757" i="23"/>
  <c r="O757" i="23"/>
  <c r="J154" i="11"/>
  <c r="J30" i="13" s="1"/>
  <c r="I85" i="15" s="1"/>
  <c r="J82" i="13"/>
  <c r="I26" i="15" s="1"/>
  <c r="J146" i="11"/>
  <c r="J148" i="11" s="1"/>
  <c r="I82" i="13"/>
  <c r="I146" i="11"/>
  <c r="I148" i="11" s="1"/>
  <c r="F55" i="13"/>
  <c r="F54" i="11"/>
  <c r="F56" i="13" s="1"/>
  <c r="D68" i="13"/>
  <c r="D96" i="13"/>
  <c r="C20" i="15" s="1"/>
  <c r="C75" i="15"/>
  <c r="C76" i="15" s="1"/>
  <c r="D87" i="13"/>
  <c r="H218" i="23"/>
  <c r="D7" i="6"/>
  <c r="E6" i="13" s="1"/>
  <c r="D6" i="18" s="1"/>
  <c r="H6" i="23"/>
  <c r="H125" i="23"/>
  <c r="I2" i="21"/>
  <c r="E7" i="11"/>
  <c r="C66" i="15"/>
  <c r="C45" i="15"/>
  <c r="C49" i="15"/>
  <c r="C41" i="15"/>
  <c r="C53" i="15"/>
  <c r="I39" i="13" l="1"/>
  <c r="H44" i="15"/>
  <c r="I115" i="13"/>
  <c r="H26" i="15"/>
  <c r="J14" i="13"/>
  <c r="I40" i="15"/>
  <c r="I26" i="13"/>
  <c r="J23" i="13"/>
  <c r="I23" i="29"/>
  <c r="I39" i="29" s="1"/>
  <c r="H10" i="18"/>
  <c r="H12" i="18" s="1"/>
  <c r="F91" i="29"/>
  <c r="E91" i="29"/>
  <c r="J117" i="13"/>
  <c r="J30" i="29"/>
  <c r="E41" i="13"/>
  <c r="E32" i="29"/>
  <c r="E41" i="29" s="1"/>
  <c r="G28" i="29"/>
  <c r="G40" i="29"/>
  <c r="E28" i="29"/>
  <c r="E40" i="29"/>
  <c r="J38" i="13"/>
  <c r="J12" i="29"/>
  <c r="H35" i="13"/>
  <c r="H32" i="29"/>
  <c r="H41" i="29" s="1"/>
  <c r="G35" i="13"/>
  <c r="G32" i="29"/>
  <c r="G41" i="29" s="1"/>
  <c r="H40" i="29"/>
  <c r="H28" i="29"/>
  <c r="D35" i="13"/>
  <c r="D35" i="29" s="1"/>
  <c r="D32" i="29"/>
  <c r="I38" i="29"/>
  <c r="I14" i="29"/>
  <c r="G41" i="13"/>
  <c r="H41" i="13"/>
  <c r="E35" i="13"/>
  <c r="F35" i="13"/>
  <c r="F41" i="13"/>
  <c r="J115" i="13"/>
  <c r="I147" i="11"/>
  <c r="J147" i="11"/>
  <c r="D80" i="13"/>
  <c r="C30" i="15"/>
  <c r="C80" i="15" s="1"/>
  <c r="C15" i="15"/>
  <c r="D97" i="13"/>
  <c r="D98" i="13"/>
  <c r="C21" i="15" s="1"/>
  <c r="I125" i="23"/>
  <c r="I218" i="23"/>
  <c r="I6" i="23"/>
  <c r="E7" i="6"/>
  <c r="F6" i="13" s="1"/>
  <c r="E6" i="18" s="1"/>
  <c r="J2" i="21"/>
  <c r="F7" i="11"/>
  <c r="J17" i="6"/>
  <c r="C40" i="15"/>
  <c r="C42" i="15" s="1"/>
  <c r="C27" i="15"/>
  <c r="C34" i="15" s="1"/>
  <c r="C61" i="15"/>
  <c r="C10" i="15"/>
  <c r="J126" i="11"/>
  <c r="I40" i="13" l="1"/>
  <c r="H48" i="15"/>
  <c r="J39" i="13"/>
  <c r="I44" i="15"/>
  <c r="I28" i="13"/>
  <c r="I32" i="13"/>
  <c r="I34" i="13" s="1"/>
  <c r="H13" i="18" s="1"/>
  <c r="H14" i="18" s="1"/>
  <c r="H16" i="18" s="1"/>
  <c r="I26" i="29"/>
  <c r="I40" i="29" s="1"/>
  <c r="J26" i="13"/>
  <c r="J23" i="29"/>
  <c r="J39" i="29" s="1"/>
  <c r="I10" i="18"/>
  <c r="I12" i="18" s="1"/>
  <c r="C11" i="15"/>
  <c r="E42" i="13"/>
  <c r="E35" i="29"/>
  <c r="E42" i="29" s="1"/>
  <c r="F42" i="13"/>
  <c r="F35" i="29"/>
  <c r="F42" i="29" s="1"/>
  <c r="G42" i="13"/>
  <c r="G35" i="29"/>
  <c r="G42" i="29" s="1"/>
  <c r="H42" i="13"/>
  <c r="H35" i="29"/>
  <c r="H42" i="29" s="1"/>
  <c r="J38" i="29"/>
  <c r="J14" i="29"/>
  <c r="K11" i="11"/>
  <c r="K105" i="11" s="1"/>
  <c r="K106" i="11" s="1"/>
  <c r="K50" i="13" s="1"/>
  <c r="K13" i="11"/>
  <c r="D91" i="13"/>
  <c r="D80" i="29" s="1"/>
  <c r="K126" i="11"/>
  <c r="J125" i="11"/>
  <c r="D95" i="13"/>
  <c r="F66" i="6"/>
  <c r="C22" i="15"/>
  <c r="J125" i="23"/>
  <c r="J218" i="23"/>
  <c r="K2" i="21"/>
  <c r="G7" i="11"/>
  <c r="F7" i="6"/>
  <c r="G6" i="13" s="1"/>
  <c r="F6" i="18" s="1"/>
  <c r="J6" i="23"/>
  <c r="C28" i="15"/>
  <c r="D42" i="15"/>
  <c r="D70" i="15"/>
  <c r="C14" i="15"/>
  <c r="J28" i="13" l="1"/>
  <c r="I48" i="15"/>
  <c r="C12" i="15"/>
  <c r="C16" i="15"/>
  <c r="C17" i="15" s="1"/>
  <c r="I28" i="29"/>
  <c r="J32" i="13"/>
  <c r="J34" i="13" s="1"/>
  <c r="I13" i="18" s="1"/>
  <c r="I14" i="18" s="1"/>
  <c r="I16" i="18" s="1"/>
  <c r="I32" i="29"/>
  <c r="J40" i="13"/>
  <c r="J26" i="29"/>
  <c r="J28" i="29" s="1"/>
  <c r="D89" i="29"/>
  <c r="D85" i="29"/>
  <c r="D76" i="29"/>
  <c r="D67" i="29"/>
  <c r="D77" i="29"/>
  <c r="D68" i="29"/>
  <c r="D70" i="29"/>
  <c r="D79" i="29"/>
  <c r="D86" i="29"/>
  <c r="D84" i="29"/>
  <c r="D75" i="29"/>
  <c r="D66" i="29"/>
  <c r="D78" i="29"/>
  <c r="D73" i="29"/>
  <c r="D83" i="29"/>
  <c r="D74" i="29"/>
  <c r="D72" i="29"/>
  <c r="D71" i="29"/>
  <c r="D82" i="29"/>
  <c r="D87" i="29"/>
  <c r="I41" i="13"/>
  <c r="I34" i="29"/>
  <c r="I35" i="13"/>
  <c r="K120" i="11"/>
  <c r="K145" i="11" s="1"/>
  <c r="K153" i="11" s="1"/>
  <c r="K154" i="11" s="1"/>
  <c r="K30" i="13" s="1"/>
  <c r="J85" i="15" s="1"/>
  <c r="K26" i="11"/>
  <c r="K17" i="13" s="1"/>
  <c r="K66" i="11"/>
  <c r="K58" i="13" s="1"/>
  <c r="K18" i="11"/>
  <c r="K115" i="11" s="1"/>
  <c r="K116" i="11" s="1"/>
  <c r="K62" i="11"/>
  <c r="K57" i="13" s="1"/>
  <c r="K109" i="13" s="1"/>
  <c r="K34" i="11"/>
  <c r="K19" i="13" s="1"/>
  <c r="K110" i="11"/>
  <c r="K111" i="11" s="1"/>
  <c r="K51" i="13" s="1"/>
  <c r="K44" i="11"/>
  <c r="K31" i="13" s="1"/>
  <c r="K58" i="11"/>
  <c r="K59" i="13" s="1"/>
  <c r="K142" i="11"/>
  <c r="K82" i="13" s="1"/>
  <c r="K38" i="11"/>
  <c r="K20" i="13" s="1"/>
  <c r="K100" i="11"/>
  <c r="K101" i="11" s="1"/>
  <c r="K52" i="13" s="1"/>
  <c r="K90" i="11"/>
  <c r="K10" i="13"/>
  <c r="K30" i="11"/>
  <c r="K18" i="13" s="1"/>
  <c r="I42" i="13"/>
  <c r="L126" i="11"/>
  <c r="F67" i="6"/>
  <c r="F68" i="6" s="1"/>
  <c r="G49" i="11"/>
  <c r="G50" i="11" s="1"/>
  <c r="G68" i="13"/>
  <c r="K125" i="23"/>
  <c r="K218" i="23"/>
  <c r="H7" i="11"/>
  <c r="G7" i="6"/>
  <c r="K6" i="23"/>
  <c r="E42" i="15"/>
  <c r="E70" i="15"/>
  <c r="C81" i="15"/>
  <c r="C82" i="15" s="1"/>
  <c r="C46" i="15"/>
  <c r="C48" i="15"/>
  <c r="I96" i="13"/>
  <c r="H20" i="15" s="1"/>
  <c r="I101" i="11"/>
  <c r="F70" i="15"/>
  <c r="J101" i="11"/>
  <c r="J11" i="33" l="1"/>
  <c r="J14" i="33" s="1"/>
  <c r="J66" i="15"/>
  <c r="J41" i="15"/>
  <c r="J45" i="15"/>
  <c r="J49" i="15"/>
  <c r="J53" i="15"/>
  <c r="H4" i="33"/>
  <c r="H10" i="33" s="1"/>
  <c r="H12" i="33" s="1"/>
  <c r="H52" i="15"/>
  <c r="H56" i="15" s="1"/>
  <c r="H60" i="15" s="1"/>
  <c r="K91" i="11"/>
  <c r="K49" i="13" s="1"/>
  <c r="K96" i="13" s="1"/>
  <c r="J20" i="15" s="1"/>
  <c r="J32" i="29"/>
  <c r="J40" i="29"/>
  <c r="K20" i="29"/>
  <c r="K17" i="29"/>
  <c r="K31" i="29"/>
  <c r="K18" i="29"/>
  <c r="D91" i="29"/>
  <c r="K117" i="13"/>
  <c r="K30" i="29"/>
  <c r="I41" i="29"/>
  <c r="K37" i="13"/>
  <c r="K10" i="29"/>
  <c r="K19" i="29"/>
  <c r="J41" i="13"/>
  <c r="J34" i="29"/>
  <c r="I81" i="11"/>
  <c r="I35" i="29"/>
  <c r="K146" i="11"/>
  <c r="K148" i="11" s="1"/>
  <c r="K21" i="13"/>
  <c r="K21" i="29" s="1"/>
  <c r="K95" i="11"/>
  <c r="K96" i="11" s="1"/>
  <c r="K11" i="13"/>
  <c r="J74" i="15" s="1"/>
  <c r="N787" i="23"/>
  <c r="N794" i="23" s="1"/>
  <c r="K71" i="13"/>
  <c r="K115" i="13" s="1"/>
  <c r="K124" i="11"/>
  <c r="K125" i="11" s="1"/>
  <c r="E560" i="23"/>
  <c r="E561" i="23" s="1"/>
  <c r="K71" i="11" s="1"/>
  <c r="K72" i="11" s="1"/>
  <c r="K25" i="13" s="1"/>
  <c r="K110" i="13"/>
  <c r="M126" i="11"/>
  <c r="N126" i="11" s="1"/>
  <c r="O126" i="11" s="1"/>
  <c r="P126" i="11" s="1"/>
  <c r="Q126" i="11" s="1"/>
  <c r="R126" i="11" s="1"/>
  <c r="S126" i="11" s="1"/>
  <c r="G55" i="13"/>
  <c r="G54" i="11"/>
  <c r="G56" i="13" s="1"/>
  <c r="I52" i="13"/>
  <c r="J52" i="13"/>
  <c r="G80" i="13"/>
  <c r="H6" i="13"/>
  <c r="H7" i="6"/>
  <c r="I7" i="6" s="1"/>
  <c r="J7" i="6" s="1"/>
  <c r="K7" i="6" s="1"/>
  <c r="L7" i="6" s="1"/>
  <c r="M7" i="6" s="1"/>
  <c r="D76" i="15"/>
  <c r="D34" i="15"/>
  <c r="I7" i="11"/>
  <c r="J7" i="11" s="1"/>
  <c r="K7" i="11" s="1"/>
  <c r="L7" i="11" s="1"/>
  <c r="M7" i="11" s="1"/>
  <c r="N7" i="11" s="1"/>
  <c r="O7" i="11" s="1"/>
  <c r="P7" i="11" s="1"/>
  <c r="Q7" i="11" s="1"/>
  <c r="R7" i="11" s="1"/>
  <c r="S7" i="11" s="1"/>
  <c r="C50" i="15"/>
  <c r="C84" i="15"/>
  <c r="C86" i="15" s="1"/>
  <c r="J131" i="11"/>
  <c r="I131" i="11"/>
  <c r="I132" i="11"/>
  <c r="G70" i="15"/>
  <c r="J132" i="11"/>
  <c r="J96" i="13"/>
  <c r="I20" i="15" s="1"/>
  <c r="K132" i="11"/>
  <c r="K131" i="11" l="1"/>
  <c r="J26" i="15"/>
  <c r="J33" i="33"/>
  <c r="J36" i="33" s="1"/>
  <c r="H26" i="33"/>
  <c r="H32" i="33" s="1"/>
  <c r="H34" i="33" s="1"/>
  <c r="J41" i="29"/>
  <c r="J15" i="18"/>
  <c r="J11" i="18"/>
  <c r="G95" i="13"/>
  <c r="K103" i="13"/>
  <c r="K25" i="29"/>
  <c r="I42" i="29"/>
  <c r="K37" i="29"/>
  <c r="K12" i="13"/>
  <c r="K11" i="29"/>
  <c r="K147" i="11"/>
  <c r="N552" i="23"/>
  <c r="I110" i="13"/>
  <c r="J110" i="13"/>
  <c r="G91" i="13"/>
  <c r="I73" i="11"/>
  <c r="G6" i="18"/>
  <c r="I6" i="13"/>
  <c r="D14" i="15"/>
  <c r="D17" i="15" s="1"/>
  <c r="D12" i="15"/>
  <c r="D30" i="15"/>
  <c r="D28" i="15"/>
  <c r="J14" i="6"/>
  <c r="K14" i="6" s="1"/>
  <c r="L14" i="6" s="1"/>
  <c r="J16" i="6"/>
  <c r="K16" i="6" s="1"/>
  <c r="L16" i="6" s="1"/>
  <c r="K15" i="6"/>
  <c r="C52" i="15"/>
  <c r="J135" i="11"/>
  <c r="J136" i="11" s="1"/>
  <c r="H70" i="15"/>
  <c r="J70" i="13"/>
  <c r="J80" i="13" s="1"/>
  <c r="I11" i="15" s="1"/>
  <c r="I16" i="15" s="1"/>
  <c r="K23" i="13" l="1"/>
  <c r="K39" i="13" s="1"/>
  <c r="J40" i="15"/>
  <c r="J6" i="13"/>
  <c r="H6" i="18"/>
  <c r="H22" i="18" s="1"/>
  <c r="K14" i="13"/>
  <c r="G86" i="29"/>
  <c r="G77" i="29"/>
  <c r="G68" i="29"/>
  <c r="G72" i="29"/>
  <c r="G70" i="29"/>
  <c r="G73" i="29"/>
  <c r="G84" i="29"/>
  <c r="G75" i="29"/>
  <c r="G66" i="29"/>
  <c r="G78" i="29"/>
  <c r="G89" i="29"/>
  <c r="G85" i="29"/>
  <c r="G76" i="29"/>
  <c r="G67" i="29"/>
  <c r="G79" i="29"/>
  <c r="G83" i="29"/>
  <c r="G74" i="29"/>
  <c r="G82" i="29"/>
  <c r="G71" i="29"/>
  <c r="G87" i="29"/>
  <c r="G80" i="29"/>
  <c r="N553" i="23"/>
  <c r="N554" i="23" s="1"/>
  <c r="K70" i="11" s="1"/>
  <c r="K38" i="13"/>
  <c r="K12" i="29"/>
  <c r="K108" i="13"/>
  <c r="J19" i="18" s="1"/>
  <c r="J75" i="11"/>
  <c r="I76" i="11"/>
  <c r="I75" i="11"/>
  <c r="H68" i="13"/>
  <c r="I66" i="13"/>
  <c r="J66" i="13" s="1"/>
  <c r="K66" i="13" s="1"/>
  <c r="L66" i="13" s="1"/>
  <c r="M66" i="13" s="1"/>
  <c r="N66" i="13" s="1"/>
  <c r="H87" i="13"/>
  <c r="H80" i="13"/>
  <c r="H98" i="13"/>
  <c r="L15" i="6"/>
  <c r="L17" i="6" s="1"/>
  <c r="M13" i="11" s="1"/>
  <c r="K17" i="6"/>
  <c r="H96" i="13"/>
  <c r="D81" i="15"/>
  <c r="D46" i="15"/>
  <c r="C57" i="18"/>
  <c r="D80" i="15"/>
  <c r="E76" i="15"/>
  <c r="H97" i="13"/>
  <c r="J73" i="11"/>
  <c r="K70" i="13"/>
  <c r="K48" i="13"/>
  <c r="C56" i="15"/>
  <c r="C54" i="15"/>
  <c r="I70" i="13"/>
  <c r="I98" i="13" s="1"/>
  <c r="H21" i="15" s="1"/>
  <c r="I135" i="11"/>
  <c r="I136" i="11" s="1"/>
  <c r="G42" i="15"/>
  <c r="J98" i="13"/>
  <c r="I21" i="15" s="1"/>
  <c r="K26" i="13" l="1"/>
  <c r="J48" i="15" s="1"/>
  <c r="K23" i="29"/>
  <c r="K39" i="29" s="1"/>
  <c r="J15" i="15"/>
  <c r="J75" i="15"/>
  <c r="J10" i="18"/>
  <c r="J12" i="18" s="1"/>
  <c r="J44" i="15"/>
  <c r="K6" i="13"/>
  <c r="I6" i="18"/>
  <c r="G91" i="29"/>
  <c r="N557" i="23"/>
  <c r="J66" i="6" s="1"/>
  <c r="J67" i="6" s="1"/>
  <c r="J68" i="6" s="1"/>
  <c r="K14" i="29"/>
  <c r="K38" i="29"/>
  <c r="L11" i="11"/>
  <c r="L100" i="11" s="1"/>
  <c r="L101" i="11" s="1"/>
  <c r="L52" i="13" s="1"/>
  <c r="L13" i="11"/>
  <c r="H91" i="13"/>
  <c r="H87" i="29" s="1"/>
  <c r="G66" i="6"/>
  <c r="J76" i="11"/>
  <c r="K75" i="11"/>
  <c r="I22" i="18"/>
  <c r="H24" i="18"/>
  <c r="E34" i="15"/>
  <c r="H95" i="13"/>
  <c r="E30" i="15"/>
  <c r="D82" i="15"/>
  <c r="D50" i="15"/>
  <c r="D84" i="15"/>
  <c r="D86" i="15" s="1"/>
  <c r="F42" i="15"/>
  <c r="K135" i="11"/>
  <c r="K136" i="11" s="1"/>
  <c r="K98" i="13"/>
  <c r="J21" i="15" s="1"/>
  <c r="I80" i="13"/>
  <c r="H11" i="15" s="1"/>
  <c r="H16" i="15" s="1"/>
  <c r="C60" i="15"/>
  <c r="C62" i="15" s="1"/>
  <c r="K97" i="13"/>
  <c r="J19" i="15" s="1"/>
  <c r="H42" i="15"/>
  <c r="K73" i="11"/>
  <c r="K80" i="13"/>
  <c r="J11" i="15" s="1"/>
  <c r="J16" i="15" s="1"/>
  <c r="K28" i="13" l="1"/>
  <c r="K32" i="13"/>
  <c r="K34" i="13" s="1"/>
  <c r="K26" i="29"/>
  <c r="K40" i="13"/>
  <c r="J22" i="15"/>
  <c r="L6" i="13"/>
  <c r="J6" i="18"/>
  <c r="H72" i="29"/>
  <c r="H83" i="29"/>
  <c r="H86" i="29"/>
  <c r="H84" i="29"/>
  <c r="H75" i="29"/>
  <c r="H66" i="29"/>
  <c r="H89" i="29"/>
  <c r="H67" i="29"/>
  <c r="H79" i="29"/>
  <c r="H74" i="29"/>
  <c r="H77" i="29"/>
  <c r="H78" i="29"/>
  <c r="H70" i="29"/>
  <c r="H73" i="29"/>
  <c r="H85" i="29"/>
  <c r="H76" i="29"/>
  <c r="H68" i="29"/>
  <c r="H71" i="29"/>
  <c r="H82" i="29"/>
  <c r="J69" i="6"/>
  <c r="K49" i="11" s="1"/>
  <c r="K50" i="11" s="1"/>
  <c r="K55" i="13" s="1"/>
  <c r="H80" i="29"/>
  <c r="K28" i="29"/>
  <c r="K40" i="29"/>
  <c r="L34" i="11"/>
  <c r="L19" i="13" s="1"/>
  <c r="L90" i="11"/>
  <c r="L58" i="11"/>
  <c r="L59" i="13" s="1"/>
  <c r="L142" i="11"/>
  <c r="L82" i="13" s="1"/>
  <c r="M11" i="11"/>
  <c r="M30" i="11" s="1"/>
  <c r="M18" i="13" s="1"/>
  <c r="L62" i="11"/>
  <c r="L57" i="13" s="1"/>
  <c r="L109" i="13" s="1"/>
  <c r="L26" i="11"/>
  <c r="L17" i="13" s="1"/>
  <c r="L120" i="11"/>
  <c r="L145" i="11" s="1"/>
  <c r="L153" i="11" s="1"/>
  <c r="L154" i="11" s="1"/>
  <c r="L30" i="13" s="1"/>
  <c r="K85" i="15" s="1"/>
  <c r="L105" i="11"/>
  <c r="L106" i="11" s="1"/>
  <c r="L50" i="13" s="1"/>
  <c r="L110" i="11"/>
  <c r="L111" i="11" s="1"/>
  <c r="L51" i="13" s="1"/>
  <c r="L30" i="11"/>
  <c r="L18" i="13" s="1"/>
  <c r="L66" i="11"/>
  <c r="L58" i="13" s="1"/>
  <c r="L44" i="11"/>
  <c r="L31" i="13" s="1"/>
  <c r="L10" i="13"/>
  <c r="L38" i="11"/>
  <c r="L20" i="13" s="1"/>
  <c r="L18" i="11"/>
  <c r="L115" i="11" s="1"/>
  <c r="L110" i="13"/>
  <c r="H66" i="6"/>
  <c r="H67" i="6" s="1"/>
  <c r="H68" i="6" s="1"/>
  <c r="H69" i="6" s="1"/>
  <c r="G67" i="6"/>
  <c r="G68" i="6" s="1"/>
  <c r="H49" i="11"/>
  <c r="H50" i="11" s="1"/>
  <c r="K76" i="11"/>
  <c r="L132" i="11"/>
  <c r="E28" i="15"/>
  <c r="I24" i="18"/>
  <c r="J22" i="18"/>
  <c r="E81" i="15"/>
  <c r="E46" i="15"/>
  <c r="E14" i="15"/>
  <c r="E17" i="15" s="1"/>
  <c r="E12" i="15"/>
  <c r="E80" i="15"/>
  <c r="H76" i="15"/>
  <c r="F46" i="15"/>
  <c r="H81" i="15"/>
  <c r="H46" i="15"/>
  <c r="G81" i="15"/>
  <c r="G46" i="15"/>
  <c r="J35" i="13"/>
  <c r="I52" i="15" s="1"/>
  <c r="I56" i="15" s="1"/>
  <c r="I60" i="15" s="1"/>
  <c r="K32" i="29" l="1"/>
  <c r="K11" i="33"/>
  <c r="K14" i="33" s="1"/>
  <c r="K66" i="15"/>
  <c r="K41" i="15"/>
  <c r="K45" i="15"/>
  <c r="K49" i="15"/>
  <c r="K53" i="15"/>
  <c r="L91" i="11"/>
  <c r="L131" i="11" s="1"/>
  <c r="J35" i="29"/>
  <c r="J42" i="29" s="1"/>
  <c r="I4" i="33"/>
  <c r="I10" i="33" s="1"/>
  <c r="I12" i="33" s="1"/>
  <c r="L116" i="11"/>
  <c r="L70" i="13" s="1"/>
  <c r="M6" i="13"/>
  <c r="K6" i="18"/>
  <c r="K35" i="13"/>
  <c r="J13" i="18"/>
  <c r="J14" i="18" s="1"/>
  <c r="J16" i="18" s="1"/>
  <c r="L19" i="29"/>
  <c r="L20" i="29"/>
  <c r="L17" i="29"/>
  <c r="L31" i="29"/>
  <c r="L18" i="29"/>
  <c r="N603" i="23"/>
  <c r="N606" i="23" s="1"/>
  <c r="J72" i="6" s="1"/>
  <c r="J73" i="6" s="1"/>
  <c r="J74" i="6" s="1"/>
  <c r="H91" i="29"/>
  <c r="L117" i="13"/>
  <c r="L30" i="29"/>
  <c r="L37" i="13"/>
  <c r="L10" i="29"/>
  <c r="L37" i="29" s="1"/>
  <c r="K41" i="13"/>
  <c r="K34" i="29"/>
  <c r="M10" i="13"/>
  <c r="N11" i="11"/>
  <c r="O11" i="11" s="1"/>
  <c r="M90" i="11"/>
  <c r="M110" i="11"/>
  <c r="M111" i="11" s="1"/>
  <c r="M51" i="13" s="1"/>
  <c r="M105" i="11"/>
  <c r="M106" i="11" s="1"/>
  <c r="M50" i="13" s="1"/>
  <c r="M38" i="11"/>
  <c r="M20" i="13" s="1"/>
  <c r="M18" i="11"/>
  <c r="M115" i="11" s="1"/>
  <c r="M58" i="11"/>
  <c r="M59" i="13" s="1"/>
  <c r="M44" i="11"/>
  <c r="M31" i="13" s="1"/>
  <c r="M31" i="29" s="1"/>
  <c r="M26" i="11"/>
  <c r="M17" i="13" s="1"/>
  <c r="M66" i="11"/>
  <c r="M58" i="13" s="1"/>
  <c r="M34" i="11"/>
  <c r="M19" i="13" s="1"/>
  <c r="M100" i="11"/>
  <c r="M101" i="11" s="1"/>
  <c r="M52" i="13" s="1"/>
  <c r="M62" i="11"/>
  <c r="M57" i="13" s="1"/>
  <c r="M109" i="13" s="1"/>
  <c r="M120" i="11"/>
  <c r="M145" i="11" s="1"/>
  <c r="M153" i="11" s="1"/>
  <c r="M154" i="11" s="1"/>
  <c r="M30" i="13" s="1"/>
  <c r="L85" i="15" s="1"/>
  <c r="M142" i="11"/>
  <c r="L21" i="13"/>
  <c r="L146" i="11"/>
  <c r="L148" i="11" s="1"/>
  <c r="L11" i="13"/>
  <c r="K74" i="15" s="1"/>
  <c r="L95" i="11"/>
  <c r="L96" i="11" s="1"/>
  <c r="L124" i="11"/>
  <c r="L125" i="11" s="1"/>
  <c r="L71" i="13"/>
  <c r="L115" i="13" s="1"/>
  <c r="O787" i="23"/>
  <c r="O794" i="23" s="1"/>
  <c r="F560" i="23"/>
  <c r="F561" i="23" s="1"/>
  <c r="O552" i="23" s="1"/>
  <c r="I70" i="15"/>
  <c r="J81" i="11"/>
  <c r="J82" i="11" s="1"/>
  <c r="J42" i="13"/>
  <c r="H55" i="13"/>
  <c r="H54" i="11"/>
  <c r="H56" i="13" s="1"/>
  <c r="I49" i="11"/>
  <c r="I50" i="11" s="1"/>
  <c r="I66" i="6"/>
  <c r="I67" i="6" s="1"/>
  <c r="I68" i="6" s="1"/>
  <c r="I69" i="6" s="1"/>
  <c r="J49" i="11" s="1"/>
  <c r="E82" i="15"/>
  <c r="J24" i="18"/>
  <c r="K22" i="18"/>
  <c r="E84" i="15"/>
  <c r="E86" i="15" s="1"/>
  <c r="E50" i="15"/>
  <c r="D54" i="15"/>
  <c r="F81" i="15"/>
  <c r="G50" i="15"/>
  <c r="G84" i="15"/>
  <c r="F50" i="15"/>
  <c r="F84" i="15"/>
  <c r="M18" i="29" l="1"/>
  <c r="L11" i="33"/>
  <c r="L14" i="33" s="1"/>
  <c r="L33" i="33" s="1"/>
  <c r="L36" i="33" s="1"/>
  <c r="L66" i="15"/>
  <c r="L41" i="15"/>
  <c r="L45" i="15"/>
  <c r="L49" i="15"/>
  <c r="L53" i="15"/>
  <c r="K42" i="13"/>
  <c r="J4" i="33"/>
  <c r="J52" i="15"/>
  <c r="J56" i="15" s="1"/>
  <c r="J60" i="15" s="1"/>
  <c r="K33" i="33"/>
  <c r="K36" i="33" s="1"/>
  <c r="K26" i="15"/>
  <c r="M116" i="11"/>
  <c r="M70" i="13" s="1"/>
  <c r="L135" i="11"/>
  <c r="L136" i="11" s="1"/>
  <c r="L49" i="13"/>
  <c r="L96" i="13" s="1"/>
  <c r="K20" i="15" s="1"/>
  <c r="M91" i="11"/>
  <c r="M131" i="11" s="1"/>
  <c r="O100" i="11"/>
  <c r="O101" i="11" s="1"/>
  <c r="O52" i="13" s="1"/>
  <c r="O110" i="13" s="1"/>
  <c r="O113" i="13" s="1"/>
  <c r="O10" i="13"/>
  <c r="O38" i="11"/>
  <c r="O20" i="13" s="1"/>
  <c r="O62" i="11"/>
  <c r="O57" i="13" s="1"/>
  <c r="O58" i="11"/>
  <c r="O59" i="13" s="1"/>
  <c r="O30" i="11"/>
  <c r="O18" i="13" s="1"/>
  <c r="O110" i="11"/>
  <c r="O111" i="11" s="1"/>
  <c r="P11" i="11"/>
  <c r="O120" i="11"/>
  <c r="O145" i="11" s="1"/>
  <c r="O105" i="11"/>
  <c r="O106" i="11" s="1"/>
  <c r="O50" i="13" s="1"/>
  <c r="O142" i="11"/>
  <c r="O90" i="11"/>
  <c r="O44" i="11"/>
  <c r="O31" i="13" s="1"/>
  <c r="O66" i="11"/>
  <c r="O58" i="13" s="1"/>
  <c r="O34" i="11"/>
  <c r="O19" i="13" s="1"/>
  <c r="O18" i="11"/>
  <c r="O26" i="11"/>
  <c r="O17" i="13" s="1"/>
  <c r="N6" i="13"/>
  <c r="L6" i="18"/>
  <c r="N142" i="11"/>
  <c r="N82" i="13" s="1"/>
  <c r="K81" i="11"/>
  <c r="K82" i="11" s="1"/>
  <c r="K116" i="13" s="1"/>
  <c r="K118" i="13" s="1"/>
  <c r="M17" i="29"/>
  <c r="K35" i="29"/>
  <c r="K42" i="29" s="1"/>
  <c r="N10" i="13"/>
  <c r="N34" i="11"/>
  <c r="N19" i="13" s="1"/>
  <c r="N38" i="11"/>
  <c r="N20" i="13" s="1"/>
  <c r="N110" i="11"/>
  <c r="N111" i="11" s="1"/>
  <c r="N51" i="13" s="1"/>
  <c r="N44" i="11"/>
  <c r="N31" i="13" s="1"/>
  <c r="N58" i="11"/>
  <c r="N59" i="13" s="1"/>
  <c r="M19" i="29"/>
  <c r="N100" i="11"/>
  <c r="N101" i="11" s="1"/>
  <c r="N105" i="11"/>
  <c r="N106" i="11" s="1"/>
  <c r="N50" i="13" s="1"/>
  <c r="N90" i="11"/>
  <c r="N91" i="11" s="1"/>
  <c r="N30" i="11"/>
  <c r="N18" i="13" s="1"/>
  <c r="N18" i="11"/>
  <c r="N115" i="11" s="1"/>
  <c r="N116" i="11" s="1"/>
  <c r="N66" i="11"/>
  <c r="N58" i="13" s="1"/>
  <c r="N120" i="11"/>
  <c r="N145" i="11" s="1"/>
  <c r="N26" i="11"/>
  <c r="N17" i="13" s="1"/>
  <c r="N62" i="11"/>
  <c r="N57" i="13" s="1"/>
  <c r="N109" i="13" s="1"/>
  <c r="J75" i="6"/>
  <c r="K53" i="11" s="1"/>
  <c r="K54" i="11" s="1"/>
  <c r="K60" i="13" s="1"/>
  <c r="K150" i="13" s="1"/>
  <c r="M110" i="13"/>
  <c r="J116" i="13"/>
  <c r="J118" i="13" s="1"/>
  <c r="L11" i="29"/>
  <c r="L21" i="29"/>
  <c r="M37" i="13"/>
  <c r="M10" i="29"/>
  <c r="M37" i="29" s="1"/>
  <c r="O553" i="23"/>
  <c r="O554" i="23" s="1"/>
  <c r="O557" i="23" s="1"/>
  <c r="K66" i="6" s="1"/>
  <c r="K67" i="6" s="1"/>
  <c r="M117" i="13"/>
  <c r="M30" i="29"/>
  <c r="K41" i="29"/>
  <c r="M20" i="29"/>
  <c r="G560" i="23"/>
  <c r="G561" i="23" s="1"/>
  <c r="M71" i="11" s="1"/>
  <c r="P787" i="23"/>
  <c r="P794" i="23" s="1"/>
  <c r="J70" i="15"/>
  <c r="M124" i="11"/>
  <c r="M125" i="11" s="1"/>
  <c r="M71" i="13"/>
  <c r="M21" i="13"/>
  <c r="M95" i="11"/>
  <c r="M11" i="13"/>
  <c r="M132" i="11"/>
  <c r="M146" i="11"/>
  <c r="M147" i="11" s="1"/>
  <c r="M82" i="13"/>
  <c r="L80" i="13"/>
  <c r="L12" i="13"/>
  <c r="K40" i="15" s="1"/>
  <c r="L147" i="11"/>
  <c r="L71" i="11"/>
  <c r="L72" i="11" s="1"/>
  <c r="L98" i="13"/>
  <c r="K21" i="15" s="1"/>
  <c r="L108" i="13"/>
  <c r="K19" i="18" s="1"/>
  <c r="I55" i="13"/>
  <c r="I54" i="11"/>
  <c r="I56" i="13" s="1"/>
  <c r="J50" i="11"/>
  <c r="L22" i="18"/>
  <c r="K24" i="18"/>
  <c r="I81" i="15"/>
  <c r="D62" i="15"/>
  <c r="H50" i="15"/>
  <c r="H84" i="15"/>
  <c r="J10" i="33" l="1"/>
  <c r="L26" i="15"/>
  <c r="M11" i="33"/>
  <c r="M14" i="33" s="1"/>
  <c r="M45" i="15"/>
  <c r="M49" i="15"/>
  <c r="M53" i="15"/>
  <c r="M66" i="15"/>
  <c r="M41" i="15"/>
  <c r="M11" i="29"/>
  <c r="L74" i="15"/>
  <c r="N11" i="33"/>
  <c r="N14" i="33" s="1"/>
  <c r="N49" i="15"/>
  <c r="N53" i="15"/>
  <c r="N66" i="15"/>
  <c r="N41" i="15"/>
  <c r="N45" i="15"/>
  <c r="K11" i="15"/>
  <c r="K16" i="15" s="1"/>
  <c r="M96" i="11"/>
  <c r="M48" i="13" s="1"/>
  <c r="M80" i="13"/>
  <c r="N10" i="29"/>
  <c r="V10" i="29" s="1"/>
  <c r="I26" i="33"/>
  <c r="I32" i="33" s="1"/>
  <c r="I34" i="33" s="1"/>
  <c r="O10" i="29"/>
  <c r="I560" i="23"/>
  <c r="I561" i="23" s="1"/>
  <c r="O71" i="11" s="1"/>
  <c r="M135" i="11"/>
  <c r="M136" i="11" s="1"/>
  <c r="M49" i="13"/>
  <c r="M96" i="13" s="1"/>
  <c r="L20" i="15" s="1"/>
  <c r="N87" i="13"/>
  <c r="O91" i="11"/>
  <c r="O49" i="13" s="1"/>
  <c r="O96" i="13" s="1"/>
  <c r="N20" i="15" s="1"/>
  <c r="O17" i="29"/>
  <c r="O19" i="29"/>
  <c r="O18" i="29"/>
  <c r="O31" i="29"/>
  <c r="O20" i="29"/>
  <c r="O21" i="13"/>
  <c r="O132" i="11"/>
  <c r="O153" i="11"/>
  <c r="O154" i="11" s="1"/>
  <c r="O30" i="13" s="1"/>
  <c r="N85" i="15" s="1"/>
  <c r="P10" i="13"/>
  <c r="P34" i="11"/>
  <c r="P19" i="13" s="1"/>
  <c r="P66" i="11"/>
  <c r="P58" i="13" s="1"/>
  <c r="P142" i="11"/>
  <c r="P82" i="13" s="1"/>
  <c r="P30" i="11"/>
  <c r="P18" i="13" s="1"/>
  <c r="P110" i="11"/>
  <c r="P111" i="11" s="1"/>
  <c r="P105" i="11"/>
  <c r="P106" i="11" s="1"/>
  <c r="P50" i="13" s="1"/>
  <c r="P26" i="11"/>
  <c r="P17" i="13" s="1"/>
  <c r="P18" i="11"/>
  <c r="P90" i="11"/>
  <c r="P91" i="11" s="1"/>
  <c r="P120" i="11"/>
  <c r="P145" i="11" s="1"/>
  <c r="P153" i="11" s="1"/>
  <c r="P154" i="11" s="1"/>
  <c r="P30" i="13" s="1"/>
  <c r="O85" i="15" s="1"/>
  <c r="P100" i="11"/>
  <c r="P101" i="11" s="1"/>
  <c r="P62" i="11"/>
  <c r="P57" i="13" s="1"/>
  <c r="P109" i="13" s="1"/>
  <c r="P58" i="11"/>
  <c r="P59" i="13" s="1"/>
  <c r="P44" i="11"/>
  <c r="P31" i="13" s="1"/>
  <c r="P38" i="11"/>
  <c r="P20" i="13" s="1"/>
  <c r="Q11" i="11"/>
  <c r="O71" i="13"/>
  <c r="O51" i="13"/>
  <c r="O11" i="13"/>
  <c r="N74" i="15" s="1"/>
  <c r="O115" i="11"/>
  <c r="O95" i="11"/>
  <c r="O109" i="13"/>
  <c r="O82" i="13"/>
  <c r="O124" i="11"/>
  <c r="O125" i="11" s="1"/>
  <c r="O37" i="13"/>
  <c r="O146" i="11"/>
  <c r="O148" i="11" s="1"/>
  <c r="M6" i="18"/>
  <c r="V20" i="13"/>
  <c r="U17" i="13"/>
  <c r="N70" i="13"/>
  <c r="N153" i="11"/>
  <c r="N154" i="11" s="1"/>
  <c r="N30" i="13" s="1"/>
  <c r="N49" i="13"/>
  <c r="N96" i="13" s="1"/>
  <c r="M20" i="15" s="1"/>
  <c r="N52" i="13"/>
  <c r="N110" i="13" s="1"/>
  <c r="N18" i="29"/>
  <c r="U18" i="29" s="1"/>
  <c r="H560" i="23"/>
  <c r="H561" i="23" s="1"/>
  <c r="N71" i="11" s="1"/>
  <c r="L24" i="18"/>
  <c r="M22" i="18"/>
  <c r="N132" i="11"/>
  <c r="N146" i="11"/>
  <c r="N147" i="11" s="1"/>
  <c r="Q787" i="23"/>
  <c r="Q794" i="23" s="1"/>
  <c r="L70" i="11"/>
  <c r="L76" i="11" s="1"/>
  <c r="V17" i="13"/>
  <c r="N19" i="29"/>
  <c r="V19" i="29" s="1"/>
  <c r="N124" i="11"/>
  <c r="N125" i="11" s="1"/>
  <c r="N131" i="11"/>
  <c r="N71" i="13"/>
  <c r="M26" i="15" s="1"/>
  <c r="U20" i="13"/>
  <c r="N20" i="29"/>
  <c r="U20" i="29" s="1"/>
  <c r="V10" i="13"/>
  <c r="N37" i="13"/>
  <c r="U19" i="13"/>
  <c r="U10" i="13"/>
  <c r="V19" i="13"/>
  <c r="N31" i="29"/>
  <c r="N17" i="29"/>
  <c r="U17" i="29" s="1"/>
  <c r="N11" i="13"/>
  <c r="M74" i="15" s="1"/>
  <c r="U18" i="13"/>
  <c r="N95" i="11"/>
  <c r="N96" i="11" s="1"/>
  <c r="V18" i="13"/>
  <c r="N21" i="13"/>
  <c r="N135" i="11"/>
  <c r="N136" i="11" s="1"/>
  <c r="I42" i="15"/>
  <c r="L12" i="29"/>
  <c r="M21" i="29"/>
  <c r="P552" i="23"/>
  <c r="P553" i="23" s="1"/>
  <c r="P554" i="23" s="1"/>
  <c r="P557" i="23" s="1"/>
  <c r="L66" i="6" s="1"/>
  <c r="L67" i="6" s="1"/>
  <c r="M72" i="11"/>
  <c r="M25" i="13" s="1"/>
  <c r="M98" i="13"/>
  <c r="L21" i="15" s="1"/>
  <c r="M12" i="13"/>
  <c r="M115" i="13"/>
  <c r="M148" i="11"/>
  <c r="L38" i="13"/>
  <c r="L23" i="13"/>
  <c r="L14" i="13"/>
  <c r="L75" i="11"/>
  <c r="L25" i="13"/>
  <c r="J112" i="13"/>
  <c r="I112" i="13"/>
  <c r="K68" i="6"/>
  <c r="K69" i="6"/>
  <c r="L49" i="11" s="1"/>
  <c r="L50" i="11" s="1"/>
  <c r="I60" i="13"/>
  <c r="J55" i="13"/>
  <c r="M603" i="23"/>
  <c r="M606" i="23" s="1"/>
  <c r="I72" i="6" s="1"/>
  <c r="I73" i="6" s="1"/>
  <c r="I74" i="6" s="1"/>
  <c r="J81" i="15"/>
  <c r="I46" i="15"/>
  <c r="E54" i="15"/>
  <c r="I82" i="11"/>
  <c r="P18" i="29" l="1"/>
  <c r="L30" i="15"/>
  <c r="L80" i="15" s="1"/>
  <c r="N26" i="15"/>
  <c r="M23" i="13"/>
  <c r="M26" i="13" s="1"/>
  <c r="L40" i="15"/>
  <c r="L15" i="15"/>
  <c r="L75" i="15"/>
  <c r="N33" i="33"/>
  <c r="N36" i="33" s="1"/>
  <c r="M33" i="33"/>
  <c r="M36" i="33" s="1"/>
  <c r="U10" i="29"/>
  <c r="O37" i="29"/>
  <c r="N30" i="29"/>
  <c r="M85" i="15"/>
  <c r="K10" i="18"/>
  <c r="K44" i="15"/>
  <c r="O11" i="33"/>
  <c r="O14" i="33" s="1"/>
  <c r="O49" i="15"/>
  <c r="O53" i="15"/>
  <c r="O66" i="15"/>
  <c r="O41" i="15"/>
  <c r="O45" i="15"/>
  <c r="J12" i="33"/>
  <c r="J26" i="33"/>
  <c r="P19" i="29"/>
  <c r="L11" i="15"/>
  <c r="L16" i="15" s="1"/>
  <c r="N37" i="29"/>
  <c r="P31" i="29"/>
  <c r="O131" i="11"/>
  <c r="M97" i="13"/>
  <c r="L19" i="15" s="1"/>
  <c r="L22" i="15" s="1"/>
  <c r="J76" i="15"/>
  <c r="U21" i="13"/>
  <c r="O96" i="11"/>
  <c r="O48" i="13" s="1"/>
  <c r="O116" i="11"/>
  <c r="O70" i="13" s="1"/>
  <c r="O21" i="29"/>
  <c r="P87" i="13"/>
  <c r="L70" i="15"/>
  <c r="N12" i="13"/>
  <c r="N12" i="29" s="1"/>
  <c r="K30" i="15"/>
  <c r="P10" i="29"/>
  <c r="P37" i="29" s="1"/>
  <c r="J560" i="23"/>
  <c r="J561" i="23" s="1"/>
  <c r="P71" i="11" s="1"/>
  <c r="K70" i="15"/>
  <c r="P20" i="29"/>
  <c r="P17" i="29"/>
  <c r="M24" i="18"/>
  <c r="N22" i="18"/>
  <c r="O12" i="13"/>
  <c r="N40" i="15" s="1"/>
  <c r="O11" i="29"/>
  <c r="O117" i="13"/>
  <c r="O30" i="29"/>
  <c r="P117" i="13"/>
  <c r="P30" i="29"/>
  <c r="N117" i="13"/>
  <c r="P131" i="11"/>
  <c r="P49" i="13"/>
  <c r="P96" i="13" s="1"/>
  <c r="O20" i="15" s="1"/>
  <c r="P124" i="11"/>
  <c r="P125" i="11" s="1"/>
  <c r="P51" i="13"/>
  <c r="P71" i="13"/>
  <c r="P115" i="13" s="1"/>
  <c r="O115" i="13"/>
  <c r="O87" i="13"/>
  <c r="Q10" i="13"/>
  <c r="Q100" i="11"/>
  <c r="Q101" i="11" s="1"/>
  <c r="Q142" i="11"/>
  <c r="Q82" i="13" s="1"/>
  <c r="R11" i="11"/>
  <c r="Q58" i="11"/>
  <c r="Q59" i="13" s="1"/>
  <c r="Q110" i="11"/>
  <c r="Q111" i="11" s="1"/>
  <c r="Q26" i="11"/>
  <c r="Q17" i="13" s="1"/>
  <c r="Q90" i="11"/>
  <c r="Q91" i="11" s="1"/>
  <c r="Q44" i="11"/>
  <c r="Q31" i="13" s="1"/>
  <c r="Q31" i="29" s="1"/>
  <c r="Q18" i="11"/>
  <c r="Q30" i="11"/>
  <c r="Q18" i="13" s="1"/>
  <c r="Q38" i="11"/>
  <c r="Q20" i="13" s="1"/>
  <c r="Q62" i="11"/>
  <c r="Q57" i="13" s="1"/>
  <c r="Q109" i="13" s="1"/>
  <c r="Q34" i="11"/>
  <c r="Q19" i="13" s="1"/>
  <c r="Q66" i="11"/>
  <c r="Q58" i="13" s="1"/>
  <c r="Q105" i="11"/>
  <c r="Q106" i="11" s="1"/>
  <c r="Q50" i="13" s="1"/>
  <c r="Q120" i="11"/>
  <c r="Q145" i="11" s="1"/>
  <c r="Q153" i="11" s="1"/>
  <c r="Q154" i="11" s="1"/>
  <c r="Q30" i="13" s="1"/>
  <c r="P85" i="15" s="1"/>
  <c r="P37" i="13"/>
  <c r="P132" i="11"/>
  <c r="P52" i="13"/>
  <c r="P110" i="13" s="1"/>
  <c r="P113" i="13" s="1"/>
  <c r="P11" i="13"/>
  <c r="O74" i="15" s="1"/>
  <c r="P95" i="11"/>
  <c r="P96" i="11" s="1"/>
  <c r="P115" i="11"/>
  <c r="P116" i="11" s="1"/>
  <c r="P21" i="13"/>
  <c r="O147" i="11"/>
  <c r="P146" i="11"/>
  <c r="P147" i="11" s="1"/>
  <c r="N80" i="13"/>
  <c r="M11" i="15" s="1"/>
  <c r="M16" i="15" s="1"/>
  <c r="N48" i="13"/>
  <c r="V17" i="29"/>
  <c r="V18" i="29"/>
  <c r="L73" i="11"/>
  <c r="N115" i="13"/>
  <c r="N148" i="11"/>
  <c r="V20" i="29"/>
  <c r="N98" i="13"/>
  <c r="M21" i="15" s="1"/>
  <c r="N11" i="29"/>
  <c r="V11" i="29" s="1"/>
  <c r="L15" i="18"/>
  <c r="L11" i="18"/>
  <c r="K15" i="18"/>
  <c r="K11" i="18"/>
  <c r="U19" i="29"/>
  <c r="M108" i="13"/>
  <c r="L19" i="18" s="1"/>
  <c r="N21" i="29"/>
  <c r="V21" i="29" s="1"/>
  <c r="N130" i="11"/>
  <c r="N133" i="11" s="1"/>
  <c r="N138" i="11" s="1"/>
  <c r="N105" i="13" s="1"/>
  <c r="M18" i="18" s="1"/>
  <c r="V11" i="13"/>
  <c r="V21" i="13"/>
  <c r="U11" i="13"/>
  <c r="L39" i="13"/>
  <c r="L23" i="29"/>
  <c r="L39" i="29" s="1"/>
  <c r="L38" i="29"/>
  <c r="L14" i="29"/>
  <c r="M103" i="13"/>
  <c r="M25" i="29"/>
  <c r="Q552" i="23"/>
  <c r="M38" i="13"/>
  <c r="M12" i="29"/>
  <c r="L103" i="13"/>
  <c r="L25" i="29"/>
  <c r="I116" i="13"/>
  <c r="N72" i="11"/>
  <c r="O72" i="11" s="1"/>
  <c r="O25" i="13" s="1"/>
  <c r="M75" i="11"/>
  <c r="J42" i="15"/>
  <c r="M14" i="13"/>
  <c r="L26" i="13"/>
  <c r="K48" i="15" s="1"/>
  <c r="M70" i="11"/>
  <c r="M73" i="11" s="1"/>
  <c r="J113" i="13"/>
  <c r="K113" i="13"/>
  <c r="L68" i="6"/>
  <c r="L69" i="6"/>
  <c r="M49" i="11" s="1"/>
  <c r="M50" i="11" s="1"/>
  <c r="O603" i="23"/>
  <c r="O606" i="23" s="1"/>
  <c r="K72" i="6" s="1"/>
  <c r="K73" i="6" s="1"/>
  <c r="K74" i="6" s="1"/>
  <c r="L55" i="13"/>
  <c r="L113" i="13" s="1"/>
  <c r="I75" i="6"/>
  <c r="J53" i="11" s="1"/>
  <c r="J54" i="11" s="1"/>
  <c r="J60" i="13" s="1"/>
  <c r="J46" i="15"/>
  <c r="E62" i="15"/>
  <c r="I83" i="11"/>
  <c r="M23" i="29" l="1"/>
  <c r="M39" i="29" s="1"/>
  <c r="K12" i="18"/>
  <c r="M39" i="13"/>
  <c r="O26" i="15"/>
  <c r="K42" i="15"/>
  <c r="M40" i="15"/>
  <c r="M26" i="29"/>
  <c r="M40" i="29" s="1"/>
  <c r="L48" i="15"/>
  <c r="M15" i="15"/>
  <c r="M75" i="15"/>
  <c r="N15" i="15"/>
  <c r="N75" i="15"/>
  <c r="N38" i="13"/>
  <c r="P11" i="33"/>
  <c r="P14" i="33" s="1"/>
  <c r="P53" i="15"/>
  <c r="P66" i="15"/>
  <c r="P41" i="15"/>
  <c r="P49" i="15"/>
  <c r="P45" i="15"/>
  <c r="L10" i="18"/>
  <c r="L12" i="18" s="1"/>
  <c r="L44" i="15"/>
  <c r="L81" i="15" s="1"/>
  <c r="L82" i="15" s="1"/>
  <c r="O33" i="33"/>
  <c r="O36" i="33" s="1"/>
  <c r="J32" i="33"/>
  <c r="J34" i="33" s="1"/>
  <c r="O135" i="11"/>
  <c r="O136" i="11" s="1"/>
  <c r="O98" i="13"/>
  <c r="N21" i="15" s="1"/>
  <c r="O80" i="13"/>
  <c r="N11" i="15" s="1"/>
  <c r="N16" i="15" s="1"/>
  <c r="N23" i="13"/>
  <c r="N39" i="13" s="1"/>
  <c r="N14" i="13"/>
  <c r="L76" i="15"/>
  <c r="O97" i="13"/>
  <c r="N19" i="15" s="1"/>
  <c r="Q10" i="29"/>
  <c r="Q37" i="29" s="1"/>
  <c r="K560" i="23"/>
  <c r="K561" i="23" s="1"/>
  <c r="Q71" i="11" s="1"/>
  <c r="P21" i="29"/>
  <c r="Q17" i="29"/>
  <c r="M70" i="15"/>
  <c r="Q19" i="29"/>
  <c r="O12" i="29"/>
  <c r="O14" i="29" s="1"/>
  <c r="L42" i="15"/>
  <c r="N97" i="13"/>
  <c r="M19" i="15" s="1"/>
  <c r="M22" i="15" s="1"/>
  <c r="O130" i="11"/>
  <c r="O133" i="11" s="1"/>
  <c r="M30" i="15"/>
  <c r="K81" i="15"/>
  <c r="K46" i="15"/>
  <c r="Q18" i="29"/>
  <c r="Q87" i="13"/>
  <c r="K80" i="15"/>
  <c r="N24" i="18"/>
  <c r="O22" i="18"/>
  <c r="O25" i="29"/>
  <c r="N11" i="18"/>
  <c r="N15" i="18"/>
  <c r="O23" i="13"/>
  <c r="O38" i="13"/>
  <c r="O14" i="13"/>
  <c r="Q20" i="29"/>
  <c r="P12" i="13"/>
  <c r="O40" i="15" s="1"/>
  <c r="P11" i="29"/>
  <c r="Q117" i="13"/>
  <c r="Q30" i="29"/>
  <c r="R10" i="13"/>
  <c r="R34" i="11"/>
  <c r="R19" i="13" s="1"/>
  <c r="R142" i="11"/>
  <c r="R66" i="11"/>
  <c r="R58" i="13" s="1"/>
  <c r="R120" i="11"/>
  <c r="R145" i="11" s="1"/>
  <c r="R153" i="11" s="1"/>
  <c r="R154" i="11" s="1"/>
  <c r="R30" i="13" s="1"/>
  <c r="Q85" i="15" s="1"/>
  <c r="R26" i="11"/>
  <c r="R17" i="13" s="1"/>
  <c r="R110" i="11"/>
  <c r="R111" i="11" s="1"/>
  <c r="R105" i="11"/>
  <c r="R106" i="11" s="1"/>
  <c r="R50" i="13" s="1"/>
  <c r="R90" i="11"/>
  <c r="R91" i="11" s="1"/>
  <c r="R100" i="11"/>
  <c r="R101" i="11" s="1"/>
  <c r="R58" i="11"/>
  <c r="R59" i="13" s="1"/>
  <c r="R30" i="11"/>
  <c r="R18" i="13" s="1"/>
  <c r="R38" i="11"/>
  <c r="R20" i="13" s="1"/>
  <c r="R18" i="11"/>
  <c r="R44" i="11"/>
  <c r="R31" i="13" s="1"/>
  <c r="R62" i="11"/>
  <c r="R57" i="13" s="1"/>
  <c r="R109" i="13" s="1"/>
  <c r="S11" i="11"/>
  <c r="Q11" i="13"/>
  <c r="P74" i="15" s="1"/>
  <c r="Q115" i="11"/>
  <c r="Q116" i="11" s="1"/>
  <c r="Q95" i="11"/>
  <c r="Q96" i="11" s="1"/>
  <c r="Q132" i="11"/>
  <c r="Q52" i="13"/>
  <c r="Q110" i="13" s="1"/>
  <c r="Q113" i="13" s="1"/>
  <c r="Q146" i="11"/>
  <c r="Q147" i="11" s="1"/>
  <c r="Q37" i="13"/>
  <c r="Q124" i="11"/>
  <c r="Q125" i="11" s="1"/>
  <c r="P135" i="11"/>
  <c r="P136" i="11" s="1"/>
  <c r="P70" i="13"/>
  <c r="Q131" i="11"/>
  <c r="Q49" i="13"/>
  <c r="Q96" i="13" s="1"/>
  <c r="P20" i="15" s="1"/>
  <c r="Q51" i="13"/>
  <c r="Q71" i="13"/>
  <c r="Q115" i="13" s="1"/>
  <c r="P148" i="11"/>
  <c r="P130" i="11"/>
  <c r="P133" i="11" s="1"/>
  <c r="P48" i="13"/>
  <c r="Q21" i="13"/>
  <c r="O103" i="13"/>
  <c r="P72" i="11"/>
  <c r="P25" i="13" s="1"/>
  <c r="O75" i="11"/>
  <c r="Q553" i="23"/>
  <c r="Q554" i="23" s="1"/>
  <c r="Q557" i="23" s="1"/>
  <c r="M66" i="6" s="1"/>
  <c r="M67" i="6" s="1"/>
  <c r="M68" i="6" s="1"/>
  <c r="R552" i="23"/>
  <c r="O108" i="13" s="1"/>
  <c r="N19" i="18" s="1"/>
  <c r="N25" i="13"/>
  <c r="N25" i="29" s="1"/>
  <c r="U11" i="29"/>
  <c r="U21" i="29"/>
  <c r="N75" i="11"/>
  <c r="N108" i="13"/>
  <c r="M19" i="18" s="1"/>
  <c r="L32" i="13"/>
  <c r="L26" i="29"/>
  <c r="N14" i="29"/>
  <c r="N38" i="29"/>
  <c r="M14" i="29"/>
  <c r="M38" i="29"/>
  <c r="I50" i="15"/>
  <c r="L28" i="13"/>
  <c r="L40" i="13"/>
  <c r="M32" i="13"/>
  <c r="M40" i="13"/>
  <c r="M76" i="11"/>
  <c r="J80" i="11"/>
  <c r="J83" i="11" s="1"/>
  <c r="M28" i="13"/>
  <c r="J50" i="15"/>
  <c r="M55" i="13"/>
  <c r="M113" i="13" s="1"/>
  <c r="P603" i="23"/>
  <c r="P606" i="23" s="1"/>
  <c r="L72" i="6" s="1"/>
  <c r="L73" i="6" s="1"/>
  <c r="L74" i="6" s="1"/>
  <c r="K75" i="6"/>
  <c r="L53" i="11" s="1"/>
  <c r="L54" i="11" s="1"/>
  <c r="L60" i="13" s="1"/>
  <c r="I67" i="13"/>
  <c r="M28" i="29" l="1"/>
  <c r="P26" i="15"/>
  <c r="M10" i="18"/>
  <c r="C49" i="18" s="1"/>
  <c r="C50" i="18" s="1"/>
  <c r="C51" i="18" s="1"/>
  <c r="R18" i="29"/>
  <c r="N23" i="29"/>
  <c r="N39" i="29" s="1"/>
  <c r="M44" i="15"/>
  <c r="M81" i="15" s="1"/>
  <c r="O15" i="15"/>
  <c r="O75" i="15"/>
  <c r="L46" i="15"/>
  <c r="Q11" i="33"/>
  <c r="Q14" i="33" s="1"/>
  <c r="Q53" i="15"/>
  <c r="Q66" i="15"/>
  <c r="Q41" i="15"/>
  <c r="Q45" i="15"/>
  <c r="Q49" i="15"/>
  <c r="O39" i="13"/>
  <c r="N44" i="15"/>
  <c r="P33" i="33"/>
  <c r="P36" i="33" s="1"/>
  <c r="N22" i="15"/>
  <c r="O38" i="29"/>
  <c r="O138" i="11"/>
  <c r="O105" i="13" s="1"/>
  <c r="N18" i="18" s="1"/>
  <c r="R31" i="29"/>
  <c r="K82" i="15"/>
  <c r="Q21" i="29"/>
  <c r="P97" i="13"/>
  <c r="O19" i="15" s="1"/>
  <c r="M76" i="15"/>
  <c r="Q11" i="29"/>
  <c r="M80" i="15"/>
  <c r="R10" i="29"/>
  <c r="R37" i="29" s="1"/>
  <c r="L560" i="23"/>
  <c r="L561" i="23" s="1"/>
  <c r="R71" i="11" s="1"/>
  <c r="P12" i="29"/>
  <c r="P14" i="29" s="1"/>
  <c r="M42" i="15"/>
  <c r="N70" i="15"/>
  <c r="O23" i="29"/>
  <c r="O39" i="29" s="1"/>
  <c r="N10" i="18"/>
  <c r="N12" i="18" s="1"/>
  <c r="N30" i="15"/>
  <c r="P22" i="18"/>
  <c r="O24" i="18"/>
  <c r="P25" i="29"/>
  <c r="O15" i="18"/>
  <c r="O11" i="18"/>
  <c r="R19" i="29"/>
  <c r="R17" i="29"/>
  <c r="O26" i="13"/>
  <c r="N48" i="15" s="1"/>
  <c r="R20" i="29"/>
  <c r="R117" i="13"/>
  <c r="R30" i="29"/>
  <c r="P23" i="13"/>
  <c r="P38" i="13"/>
  <c r="P14" i="13"/>
  <c r="Q148" i="11"/>
  <c r="P138" i="11"/>
  <c r="P105" i="13" s="1"/>
  <c r="O18" i="18" s="1"/>
  <c r="R132" i="11"/>
  <c r="R52" i="13"/>
  <c r="R110" i="13" s="1"/>
  <c r="R113" i="13" s="1"/>
  <c r="S10" i="13"/>
  <c r="S66" i="11"/>
  <c r="S58" i="13" s="1"/>
  <c r="S142" i="11"/>
  <c r="S38" i="11"/>
  <c r="S20" i="13" s="1"/>
  <c r="S90" i="11"/>
  <c r="S91" i="11" s="1"/>
  <c r="S105" i="11"/>
  <c r="S106" i="11" s="1"/>
  <c r="S50" i="13" s="1"/>
  <c r="S26" i="11"/>
  <c r="S17" i="13" s="1"/>
  <c r="S100" i="11"/>
  <c r="S101" i="11" s="1"/>
  <c r="S110" i="11"/>
  <c r="S111" i="11" s="1"/>
  <c r="S120" i="11"/>
  <c r="S145" i="11" s="1"/>
  <c r="S58" i="11"/>
  <c r="S59" i="13" s="1"/>
  <c r="S30" i="11"/>
  <c r="S18" i="13" s="1"/>
  <c r="S44" i="11"/>
  <c r="S31" i="13" s="1"/>
  <c r="S18" i="11"/>
  <c r="S34" i="11"/>
  <c r="S19" i="13" s="1"/>
  <c r="S62" i="11"/>
  <c r="S57" i="13" s="1"/>
  <c r="S109" i="13" s="1"/>
  <c r="R131" i="11"/>
  <c r="R49" i="13"/>
  <c r="R96" i="13" s="1"/>
  <c r="Q20" i="15" s="1"/>
  <c r="R37" i="13"/>
  <c r="R124" i="11"/>
  <c r="R125" i="11" s="1"/>
  <c r="P98" i="13"/>
  <c r="O21" i="15" s="1"/>
  <c r="P80" i="13"/>
  <c r="O11" i="15" s="1"/>
  <c r="O16" i="15" s="1"/>
  <c r="R11" i="13"/>
  <c r="Q74" i="15" s="1"/>
  <c r="R95" i="11"/>
  <c r="R96" i="11" s="1"/>
  <c r="R115" i="11"/>
  <c r="R116" i="11" s="1"/>
  <c r="R21" i="13"/>
  <c r="R146" i="11"/>
  <c r="R148" i="11" s="1"/>
  <c r="R51" i="13"/>
  <c r="R71" i="13"/>
  <c r="Q130" i="11"/>
  <c r="Q133" i="11" s="1"/>
  <c r="Q48" i="13"/>
  <c r="Q12" i="13"/>
  <c r="P40" i="15" s="1"/>
  <c r="Q135" i="11"/>
  <c r="Q136" i="11" s="1"/>
  <c r="Q70" i="13"/>
  <c r="R82" i="13"/>
  <c r="P103" i="13"/>
  <c r="M69" i="6"/>
  <c r="N49" i="11" s="1"/>
  <c r="N50" i="11" s="1"/>
  <c r="N55" i="13" s="1"/>
  <c r="N113" i="13" s="1"/>
  <c r="P75" i="11"/>
  <c r="Q72" i="11"/>
  <c r="Q25" i="13" s="1"/>
  <c r="N70" i="11"/>
  <c r="N73" i="11" s="1"/>
  <c r="S552" i="23"/>
  <c r="P108" i="13" s="1"/>
  <c r="O19" i="18" s="1"/>
  <c r="R553" i="23"/>
  <c r="R554" i="23" s="1"/>
  <c r="O70" i="11" s="1"/>
  <c r="N103" i="13"/>
  <c r="M15" i="18"/>
  <c r="N26" i="13"/>
  <c r="M48" i="15" s="1"/>
  <c r="M11" i="18"/>
  <c r="U25" i="13"/>
  <c r="V25" i="13"/>
  <c r="I68" i="13"/>
  <c r="L28" i="29"/>
  <c r="L40" i="29"/>
  <c r="L34" i="13"/>
  <c r="K13" i="18" s="1"/>
  <c r="K14" i="18" s="1"/>
  <c r="K16" i="18" s="1"/>
  <c r="L32" i="29"/>
  <c r="U25" i="29"/>
  <c r="V25" i="29"/>
  <c r="M34" i="13"/>
  <c r="L13" i="18" s="1"/>
  <c r="L14" i="18" s="1"/>
  <c r="L16" i="18" s="1"/>
  <c r="M32" i="29"/>
  <c r="I84" i="15"/>
  <c r="K80" i="11"/>
  <c r="K83" i="11" s="1"/>
  <c r="J67" i="13"/>
  <c r="J84" i="15"/>
  <c r="L75" i="6"/>
  <c r="M53" i="11" s="1"/>
  <c r="M54" i="11" s="1"/>
  <c r="M60" i="13" s="1"/>
  <c r="M150" i="13" s="1"/>
  <c r="O40" i="13" l="1"/>
  <c r="M12" i="18"/>
  <c r="O32" i="13"/>
  <c r="O32" i="29" s="1"/>
  <c r="O22" i="15"/>
  <c r="P15" i="15"/>
  <c r="P75" i="15"/>
  <c r="Q33" i="33"/>
  <c r="Q36" i="33" s="1"/>
  <c r="M46" i="15"/>
  <c r="F34" i="15"/>
  <c r="H5" i="33"/>
  <c r="H61" i="15"/>
  <c r="H27" i="15"/>
  <c r="Q26" i="15"/>
  <c r="O10" i="18"/>
  <c r="O12" i="18" s="1"/>
  <c r="O44" i="15"/>
  <c r="R11" i="33"/>
  <c r="R14" i="33" s="1"/>
  <c r="R66" i="15"/>
  <c r="R41" i="15"/>
  <c r="R45" i="15"/>
  <c r="R53" i="15"/>
  <c r="R49" i="15"/>
  <c r="P38" i="29"/>
  <c r="M82" i="15"/>
  <c r="Q12" i="29"/>
  <c r="Q14" i="29" s="1"/>
  <c r="N42" i="15"/>
  <c r="O70" i="15"/>
  <c r="Q97" i="13"/>
  <c r="P19" i="15" s="1"/>
  <c r="N76" i="15"/>
  <c r="R87" i="13"/>
  <c r="S10" i="29"/>
  <c r="S37" i="29" s="1"/>
  <c r="M560" i="23"/>
  <c r="M561" i="23" s="1"/>
  <c r="S71" i="11" s="1"/>
  <c r="N26" i="29"/>
  <c r="N40" i="29" s="1"/>
  <c r="O26" i="29"/>
  <c r="O28" i="29" s="1"/>
  <c r="R21" i="29"/>
  <c r="N80" i="15"/>
  <c r="N81" i="15"/>
  <c r="N46" i="15"/>
  <c r="Q22" i="18"/>
  <c r="P24" i="18"/>
  <c r="Q25" i="29"/>
  <c r="P11" i="18"/>
  <c r="P15" i="18"/>
  <c r="O28" i="13"/>
  <c r="S19" i="29"/>
  <c r="Q603" i="23"/>
  <c r="Q606" i="23" s="1"/>
  <c r="M72" i="6" s="1"/>
  <c r="M73" i="6" s="1"/>
  <c r="M74" i="6" s="1"/>
  <c r="S18" i="29"/>
  <c r="R12" i="13"/>
  <c r="Q40" i="15" s="1"/>
  <c r="Q42" i="15" s="1"/>
  <c r="R11" i="29"/>
  <c r="S17" i="29"/>
  <c r="P39" i="13"/>
  <c r="P23" i="29"/>
  <c r="P39" i="29" s="1"/>
  <c r="P26" i="13"/>
  <c r="O48" i="15" s="1"/>
  <c r="S31" i="29"/>
  <c r="S20" i="29"/>
  <c r="Q138" i="11"/>
  <c r="Q105" i="13" s="1"/>
  <c r="P18" i="18" s="1"/>
  <c r="R147" i="11"/>
  <c r="R115" i="13"/>
  <c r="Q14" i="13"/>
  <c r="Q38" i="13"/>
  <c r="Q23" i="13"/>
  <c r="S146" i="11"/>
  <c r="S148" i="11" s="1"/>
  <c r="S51" i="13"/>
  <c r="S71" i="13"/>
  <c r="S37" i="13"/>
  <c r="S124" i="11"/>
  <c r="S125" i="11" s="1"/>
  <c r="S132" i="11"/>
  <c r="S52" i="13"/>
  <c r="S110" i="13" s="1"/>
  <c r="S113" i="13" s="1"/>
  <c r="S21" i="13"/>
  <c r="S11" i="13"/>
  <c r="R74" i="15" s="1"/>
  <c r="S115" i="11"/>
  <c r="S116" i="11" s="1"/>
  <c r="S95" i="11"/>
  <c r="S96" i="11" s="1"/>
  <c r="S82" i="13"/>
  <c r="R135" i="11"/>
  <c r="R136" i="11" s="1"/>
  <c r="R70" i="13"/>
  <c r="R130" i="11"/>
  <c r="R133" i="11" s="1"/>
  <c r="R48" i="13"/>
  <c r="Q98" i="13"/>
  <c r="P21" i="15" s="1"/>
  <c r="Q80" i="13"/>
  <c r="P11" i="15" s="1"/>
  <c r="P16" i="15" s="1"/>
  <c r="S153" i="11"/>
  <c r="S154" i="11" s="1"/>
  <c r="S30" i="13" s="1"/>
  <c r="R85" i="15" s="1"/>
  <c r="S131" i="11"/>
  <c r="S49" i="13"/>
  <c r="S96" i="13" s="1"/>
  <c r="R20" i="15" s="1"/>
  <c r="Q103" i="13"/>
  <c r="O34" i="13"/>
  <c r="N13" i="18" s="1"/>
  <c r="N14" i="18" s="1"/>
  <c r="N16" i="18" s="1"/>
  <c r="N20" i="18" s="1"/>
  <c r="N26" i="18" s="1"/>
  <c r="N28" i="13"/>
  <c r="Q75" i="11"/>
  <c r="R72" i="11"/>
  <c r="R25" i="13" s="1"/>
  <c r="O73" i="11"/>
  <c r="O76" i="11"/>
  <c r="N76" i="11"/>
  <c r="N32" i="13"/>
  <c r="U32" i="13" s="1"/>
  <c r="N40" i="13"/>
  <c r="S553" i="23"/>
  <c r="S554" i="23" s="1"/>
  <c r="P70" i="11" s="1"/>
  <c r="T552" i="23"/>
  <c r="Q108" i="13" s="1"/>
  <c r="P19" i="18" s="1"/>
  <c r="R557" i="23"/>
  <c r="N66" i="6" s="1"/>
  <c r="N67" i="6" s="1"/>
  <c r="M35" i="13"/>
  <c r="J68" i="13"/>
  <c r="L34" i="29"/>
  <c r="L41" i="29" s="1"/>
  <c r="L41" i="13"/>
  <c r="L35" i="13"/>
  <c r="L80" i="11"/>
  <c r="M41" i="13"/>
  <c r="M34" i="29"/>
  <c r="M41" i="29" s="1"/>
  <c r="K67" i="13"/>
  <c r="R70" i="15" l="1"/>
  <c r="R33" i="33"/>
  <c r="R36" i="33" s="1"/>
  <c r="Q15" i="15"/>
  <c r="Q75" i="15"/>
  <c r="Q76" i="15" s="1"/>
  <c r="P10" i="18"/>
  <c r="P12" i="18" s="1"/>
  <c r="P44" i="15"/>
  <c r="K4" i="33"/>
  <c r="K52" i="15"/>
  <c r="K56" i="15" s="1"/>
  <c r="K60" i="15" s="1"/>
  <c r="M35" i="29"/>
  <c r="M42" i="29" s="1"/>
  <c r="L4" i="33"/>
  <c r="L52" i="15"/>
  <c r="L56" i="15" s="1"/>
  <c r="L60" i="15" s="1"/>
  <c r="H19" i="33"/>
  <c r="H6" i="33"/>
  <c r="P22" i="15"/>
  <c r="Q30" i="15"/>
  <c r="Q38" i="29"/>
  <c r="G34" i="15"/>
  <c r="I5" i="33"/>
  <c r="I61" i="15"/>
  <c r="I27" i="15"/>
  <c r="R26" i="15"/>
  <c r="N28" i="29"/>
  <c r="M75" i="6"/>
  <c r="N53" i="11" s="1"/>
  <c r="N54" i="11" s="1"/>
  <c r="N60" i="13" s="1"/>
  <c r="N150" i="13" s="1"/>
  <c r="O40" i="29"/>
  <c r="P30" i="15"/>
  <c r="P70" i="15"/>
  <c r="Q70" i="15"/>
  <c r="K50" i="15"/>
  <c r="K84" i="15"/>
  <c r="K86" i="15" s="1"/>
  <c r="N82" i="15"/>
  <c r="R12" i="29"/>
  <c r="R14" i="29" s="1"/>
  <c r="O42" i="15"/>
  <c r="O81" i="15"/>
  <c r="O46" i="15"/>
  <c r="O30" i="15"/>
  <c r="R97" i="13"/>
  <c r="Q19" i="15" s="1"/>
  <c r="O76" i="15"/>
  <c r="S21" i="29"/>
  <c r="P81" i="15"/>
  <c r="P26" i="29"/>
  <c r="P40" i="29" s="1"/>
  <c r="L50" i="15"/>
  <c r="L84" i="15"/>
  <c r="L86" i="15" s="1"/>
  <c r="P28" i="13"/>
  <c r="R22" i="18"/>
  <c r="R24" i="18" s="1"/>
  <c r="Q24" i="18"/>
  <c r="R25" i="29"/>
  <c r="Q15" i="18"/>
  <c r="Q11" i="18"/>
  <c r="P40" i="13"/>
  <c r="R14" i="13"/>
  <c r="R23" i="13"/>
  <c r="S117" i="13"/>
  <c r="S30" i="29"/>
  <c r="R38" i="13"/>
  <c r="O41" i="13"/>
  <c r="O34" i="29"/>
  <c r="O41" i="29" s="1"/>
  <c r="Q39" i="13"/>
  <c r="Q23" i="29"/>
  <c r="Q39" i="29" s="1"/>
  <c r="S12" i="13"/>
  <c r="R40" i="15" s="1"/>
  <c r="R42" i="15" s="1"/>
  <c r="S11" i="29"/>
  <c r="P32" i="13"/>
  <c r="P32" i="29" s="1"/>
  <c r="S147" i="11"/>
  <c r="Q26" i="13"/>
  <c r="P48" i="15" s="1"/>
  <c r="S115" i="13"/>
  <c r="S87" i="13"/>
  <c r="S130" i="11"/>
  <c r="S133" i="11" s="1"/>
  <c r="S48" i="13"/>
  <c r="S135" i="11"/>
  <c r="S136" i="11" s="1"/>
  <c r="S70" i="13"/>
  <c r="O35" i="13"/>
  <c r="R138" i="11"/>
  <c r="R105" i="13" s="1"/>
  <c r="Q18" i="18" s="1"/>
  <c r="R98" i="13"/>
  <c r="Q21" i="15" s="1"/>
  <c r="R80" i="13"/>
  <c r="Q11" i="15" s="1"/>
  <c r="Q16" i="15" s="1"/>
  <c r="R103" i="13"/>
  <c r="R26" i="13"/>
  <c r="Q48" i="15" s="1"/>
  <c r="N32" i="29"/>
  <c r="U32" i="29" s="1"/>
  <c r="N34" i="13"/>
  <c r="M13" i="18" s="1"/>
  <c r="M14" i="18" s="1"/>
  <c r="M16" i="18" s="1"/>
  <c r="M20" i="18" s="1"/>
  <c r="P73" i="11"/>
  <c r="P76" i="11"/>
  <c r="S72" i="11"/>
  <c r="S25" i="13" s="1"/>
  <c r="R75" i="11"/>
  <c r="V32" i="13"/>
  <c r="N68" i="6"/>
  <c r="N69" i="6"/>
  <c r="O49" i="11" s="1"/>
  <c r="O50" i="11" s="1"/>
  <c r="U552" i="23"/>
  <c r="R108" i="13" s="1"/>
  <c r="Q19" i="18" s="1"/>
  <c r="T553" i="23"/>
  <c r="T554" i="23" s="1"/>
  <c r="Q70" i="11" s="1"/>
  <c r="S557" i="23"/>
  <c r="O66" i="6" s="1"/>
  <c r="O67" i="6" s="1"/>
  <c r="M42" i="13"/>
  <c r="M81" i="11"/>
  <c r="M82" i="11" s="1"/>
  <c r="M116" i="13" s="1"/>
  <c r="M118" i="13" s="1"/>
  <c r="K68" i="13"/>
  <c r="L42" i="13"/>
  <c r="L35" i="29"/>
  <c r="L81" i="11"/>
  <c r="L82" i="11" s="1"/>
  <c r="Q22" i="15" l="1"/>
  <c r="R15" i="15"/>
  <c r="R75" i="15"/>
  <c r="R76" i="15" s="1"/>
  <c r="Q10" i="18"/>
  <c r="Q44" i="15"/>
  <c r="J5" i="33"/>
  <c r="J61" i="15"/>
  <c r="J27" i="15"/>
  <c r="I19" i="33"/>
  <c r="I6" i="33"/>
  <c r="R30" i="15"/>
  <c r="Q84" i="15"/>
  <c r="Q86" i="15" s="1"/>
  <c r="Q50" i="15"/>
  <c r="L10" i="33"/>
  <c r="N4" i="33"/>
  <c r="N52" i="15"/>
  <c r="N56" i="15" s="1"/>
  <c r="N60" i="15" s="1"/>
  <c r="Q80" i="15"/>
  <c r="K10" i="33"/>
  <c r="R38" i="29"/>
  <c r="Q12" i="18"/>
  <c r="L54" i="15"/>
  <c r="P46" i="15"/>
  <c r="R26" i="29"/>
  <c r="R40" i="29" s="1"/>
  <c r="S97" i="13"/>
  <c r="R19" i="15" s="1"/>
  <c r="P76" i="15"/>
  <c r="S12" i="29"/>
  <c r="S38" i="29" s="1"/>
  <c r="P42" i="15"/>
  <c r="P28" i="29"/>
  <c r="N50" i="15"/>
  <c r="N84" i="15"/>
  <c r="N86" i="15" s="1"/>
  <c r="M50" i="15"/>
  <c r="M84" i="15"/>
  <c r="M86" i="15" s="1"/>
  <c r="O80" i="15"/>
  <c r="O82" i="15" s="1"/>
  <c r="P80" i="15"/>
  <c r="P82" i="15" s="1"/>
  <c r="S25" i="29"/>
  <c r="R15" i="18"/>
  <c r="R11" i="18"/>
  <c r="P34" i="13"/>
  <c r="O13" i="18" s="1"/>
  <c r="O14" i="18" s="1"/>
  <c r="O16" i="18" s="1"/>
  <c r="O20" i="18" s="1"/>
  <c r="O26" i="18" s="1"/>
  <c r="Q28" i="13"/>
  <c r="Q26" i="29"/>
  <c r="R39" i="13"/>
  <c r="R23" i="29"/>
  <c r="R39" i="29" s="1"/>
  <c r="S23" i="13"/>
  <c r="O42" i="13"/>
  <c r="O35" i="29"/>
  <c r="O42" i="29" s="1"/>
  <c r="O81" i="11"/>
  <c r="O82" i="11" s="1"/>
  <c r="O116" i="13" s="1"/>
  <c r="O118" i="13" s="1"/>
  <c r="S14" i="13"/>
  <c r="S38" i="13"/>
  <c r="S138" i="11"/>
  <c r="S105" i="13" s="1"/>
  <c r="R18" i="18" s="1"/>
  <c r="Q32" i="13"/>
  <c r="Q40" i="13"/>
  <c r="S98" i="13"/>
  <c r="R21" i="15" s="1"/>
  <c r="S80" i="13"/>
  <c r="R11" i="15" s="1"/>
  <c r="R16" i="15" s="1"/>
  <c r="O102" i="13"/>
  <c r="O106" i="13" s="1"/>
  <c r="R28" i="13"/>
  <c r="R32" i="13"/>
  <c r="R32" i="29" s="1"/>
  <c r="R40" i="13"/>
  <c r="S103" i="13"/>
  <c r="S26" i="13"/>
  <c r="R48" i="15" s="1"/>
  <c r="O54" i="11"/>
  <c r="O55" i="13"/>
  <c r="O60" i="13" s="1"/>
  <c r="N34" i="29"/>
  <c r="N41" i="29" s="1"/>
  <c r="U34" i="13"/>
  <c r="V32" i="29"/>
  <c r="N35" i="13"/>
  <c r="V34" i="13"/>
  <c r="S75" i="11"/>
  <c r="N41" i="13"/>
  <c r="Q73" i="11"/>
  <c r="Q76" i="11"/>
  <c r="V552" i="23"/>
  <c r="U553" i="23"/>
  <c r="U554" i="23" s="1"/>
  <c r="R70" i="11" s="1"/>
  <c r="O68" i="6"/>
  <c r="O69" i="6"/>
  <c r="P49" i="11" s="1"/>
  <c r="P50" i="11" s="1"/>
  <c r="T557" i="23"/>
  <c r="P66" i="6" s="1"/>
  <c r="P67" i="6" s="1"/>
  <c r="M26" i="18"/>
  <c r="H34" i="15"/>
  <c r="L83" i="11"/>
  <c r="L116" i="13"/>
  <c r="L118" i="13" s="1"/>
  <c r="L42" i="29"/>
  <c r="P35" i="13" l="1"/>
  <c r="O4" i="33" s="1"/>
  <c r="R84" i="15"/>
  <c r="R86" i="15" s="1"/>
  <c r="R50" i="15"/>
  <c r="R10" i="18"/>
  <c r="R44" i="15"/>
  <c r="L12" i="33"/>
  <c r="L26" i="33"/>
  <c r="L32" i="33" s="1"/>
  <c r="L34" i="33" s="1"/>
  <c r="M4" i="33"/>
  <c r="M52" i="15"/>
  <c r="M56" i="15" s="1"/>
  <c r="M60" i="15" s="1"/>
  <c r="O52" i="15"/>
  <c r="O56" i="15" s="1"/>
  <c r="O60" i="15" s="1"/>
  <c r="K26" i="33"/>
  <c r="K12" i="33"/>
  <c r="N10" i="33"/>
  <c r="J19" i="33"/>
  <c r="J6" i="33"/>
  <c r="R22" i="15"/>
  <c r="Q46" i="15"/>
  <c r="Q81" i="15"/>
  <c r="Q82" i="15" s="1"/>
  <c r="R80" i="15"/>
  <c r="S14" i="29"/>
  <c r="N81" i="11"/>
  <c r="N82" i="11" s="1"/>
  <c r="N116" i="13" s="1"/>
  <c r="N118" i="13" s="1"/>
  <c r="R12" i="18"/>
  <c r="O84" i="15"/>
  <c r="O86" i="15" s="1"/>
  <c r="O50" i="15"/>
  <c r="S26" i="29"/>
  <c r="S40" i="29" s="1"/>
  <c r="R28" i="29"/>
  <c r="P34" i="29"/>
  <c r="P41" i="29" s="1"/>
  <c r="P41" i="13"/>
  <c r="Q34" i="13"/>
  <c r="P13" i="18" s="1"/>
  <c r="P14" i="18" s="1"/>
  <c r="P16" i="18" s="1"/>
  <c r="P20" i="18" s="1"/>
  <c r="P26" i="18" s="1"/>
  <c r="Q32" i="29"/>
  <c r="Q28" i="29"/>
  <c r="Q40" i="29"/>
  <c r="S39" i="13"/>
  <c r="S23" i="29"/>
  <c r="S39" i="29" s="1"/>
  <c r="R34" i="13"/>
  <c r="Q13" i="18" s="1"/>
  <c r="Q14" i="18" s="1"/>
  <c r="Q16" i="18" s="1"/>
  <c r="Q20" i="18" s="1"/>
  <c r="Q26" i="18" s="1"/>
  <c r="S32" i="13"/>
  <c r="S32" i="29" s="1"/>
  <c r="S40" i="13"/>
  <c r="S28" i="13"/>
  <c r="O150" i="13"/>
  <c r="P54" i="11"/>
  <c r="P55" i="13"/>
  <c r="P60" i="13" s="1"/>
  <c r="V553" i="23"/>
  <c r="V554" i="23" s="1"/>
  <c r="S70" i="11" s="1"/>
  <c r="S73" i="11" s="1"/>
  <c r="S108" i="13"/>
  <c r="R19" i="18" s="1"/>
  <c r="U34" i="29"/>
  <c r="U35" i="13"/>
  <c r="V34" i="29"/>
  <c r="V35" i="13"/>
  <c r="N42" i="13"/>
  <c r="N102" i="13"/>
  <c r="N106" i="13" s="1"/>
  <c r="N35" i="29"/>
  <c r="V35" i="29" s="1"/>
  <c r="R73" i="11"/>
  <c r="R76" i="11"/>
  <c r="P68" i="6"/>
  <c r="P69" i="6"/>
  <c r="Q49" i="11" s="1"/>
  <c r="Q50" i="11" s="1"/>
  <c r="U557" i="23"/>
  <c r="Q66" i="6" s="1"/>
  <c r="Q67" i="6" s="1"/>
  <c r="M80" i="11"/>
  <c r="M83" i="11" s="1"/>
  <c r="L67" i="13"/>
  <c r="K102" i="13"/>
  <c r="H62" i="15"/>
  <c r="J102" i="13"/>
  <c r="I102" i="13"/>
  <c r="P42" i="13" l="1"/>
  <c r="P81" i="11"/>
  <c r="P82" i="11" s="1"/>
  <c r="P116" i="13" s="1"/>
  <c r="P118" i="13" s="1"/>
  <c r="P35" i="29"/>
  <c r="P42" i="29" s="1"/>
  <c r="P102" i="13"/>
  <c r="P106" i="13" s="1"/>
  <c r="M54" i="15"/>
  <c r="M10" i="33"/>
  <c r="N26" i="33"/>
  <c r="N12" i="33"/>
  <c r="O10" i="33"/>
  <c r="R81" i="15"/>
  <c r="R82" i="15" s="1"/>
  <c r="R46" i="15"/>
  <c r="K32" i="33"/>
  <c r="K34" i="33" s="1"/>
  <c r="Q35" i="13"/>
  <c r="Q35" i="29" s="1"/>
  <c r="Q42" i="29" s="1"/>
  <c r="K54" i="15"/>
  <c r="S28" i="29"/>
  <c r="N54" i="15"/>
  <c r="P84" i="15"/>
  <c r="P86" i="15" s="1"/>
  <c r="P50" i="15"/>
  <c r="R41" i="13"/>
  <c r="R34" i="29"/>
  <c r="R41" i="29" s="1"/>
  <c r="Q41" i="13"/>
  <c r="Q34" i="29"/>
  <c r="Q41" i="29" s="1"/>
  <c r="V557" i="23"/>
  <c r="R66" i="6" s="1"/>
  <c r="R67" i="6" s="1"/>
  <c r="R69" i="6" s="1"/>
  <c r="S49" i="11" s="1"/>
  <c r="S50" i="11" s="1"/>
  <c r="S76" i="11"/>
  <c r="P150" i="13"/>
  <c r="Q54" i="11"/>
  <c r="Q55" i="13"/>
  <c r="Q60" i="13" s="1"/>
  <c r="S34" i="13"/>
  <c r="R13" i="18" s="1"/>
  <c r="R14" i="18" s="1"/>
  <c r="R16" i="18" s="1"/>
  <c r="R20" i="18" s="1"/>
  <c r="R35" i="13"/>
  <c r="N42" i="29"/>
  <c r="U35" i="29"/>
  <c r="Q68" i="6"/>
  <c r="Q69" i="6"/>
  <c r="R49" i="11" s="1"/>
  <c r="R50" i="11" s="1"/>
  <c r="L68" i="13"/>
  <c r="N80" i="11"/>
  <c r="N83" i="11" s="1"/>
  <c r="O80" i="11" s="1"/>
  <c r="O83" i="11" s="1"/>
  <c r="M67" i="13"/>
  <c r="H54" i="15"/>
  <c r="M102" i="13"/>
  <c r="F86" i="15"/>
  <c r="L102" i="13"/>
  <c r="F54" i="15"/>
  <c r="Q42" i="13" l="1"/>
  <c r="Q102" i="13"/>
  <c r="Q106" i="13" s="1"/>
  <c r="Q81" i="11"/>
  <c r="Q82" i="11" s="1"/>
  <c r="Q116" i="13" s="1"/>
  <c r="Q118" i="13" s="1"/>
  <c r="M26" i="33"/>
  <c r="M12" i="33"/>
  <c r="I34" i="15"/>
  <c r="K5" i="33"/>
  <c r="K61" i="15"/>
  <c r="K27" i="15"/>
  <c r="O26" i="33"/>
  <c r="O12" i="33"/>
  <c r="Q4" i="33"/>
  <c r="Q10" i="33" s="1"/>
  <c r="Q52" i="15"/>
  <c r="P4" i="33"/>
  <c r="P52" i="15"/>
  <c r="P56" i="15" s="1"/>
  <c r="P60" i="15" s="1"/>
  <c r="N32" i="33"/>
  <c r="N34" i="33" s="1"/>
  <c r="O54" i="15"/>
  <c r="R26" i="18"/>
  <c r="C31" i="18"/>
  <c r="C32" i="18" s="1"/>
  <c r="C33" i="18" s="1"/>
  <c r="S41" i="13"/>
  <c r="S34" i="29"/>
  <c r="S41" i="29" s="1"/>
  <c r="R35" i="29"/>
  <c r="R42" i="29" s="1"/>
  <c r="R81" i="11"/>
  <c r="R82" i="11" s="1"/>
  <c r="R116" i="13" s="1"/>
  <c r="R118" i="13" s="1"/>
  <c r="R68" i="6"/>
  <c r="S35" i="13"/>
  <c r="S54" i="11"/>
  <c r="S55" i="13"/>
  <c r="S60" i="13" s="1"/>
  <c r="P80" i="11"/>
  <c r="P83" i="11" s="1"/>
  <c r="O67" i="13"/>
  <c r="R42" i="13"/>
  <c r="R102" i="13"/>
  <c r="R106" i="13" s="1"/>
  <c r="R54" i="11"/>
  <c r="R55" i="13"/>
  <c r="R60" i="13" s="1"/>
  <c r="Q150" i="13"/>
  <c r="M68" i="13"/>
  <c r="N67" i="13"/>
  <c r="G54" i="15"/>
  <c r="G86" i="15"/>
  <c r="F62" i="15"/>
  <c r="G62" i="15"/>
  <c r="J54" i="15"/>
  <c r="I54" i="15"/>
  <c r="M32" i="33" l="1"/>
  <c r="M34" i="33" s="1"/>
  <c r="O32" i="33"/>
  <c r="O34" i="33" s="1"/>
  <c r="R4" i="33"/>
  <c r="R10" i="33" s="1"/>
  <c r="R52" i="15"/>
  <c r="K19" i="33"/>
  <c r="K6" i="33"/>
  <c r="P10" i="33"/>
  <c r="Q12" i="33"/>
  <c r="Q26" i="33"/>
  <c r="L5" i="33"/>
  <c r="L27" i="15"/>
  <c r="L61" i="15"/>
  <c r="Q56" i="15"/>
  <c r="Q54" i="15"/>
  <c r="P54" i="15"/>
  <c r="S42" i="13"/>
  <c r="S81" i="11"/>
  <c r="S82" i="11" s="1"/>
  <c r="S116" i="13" s="1"/>
  <c r="S118" i="13" s="1"/>
  <c r="S35" i="29"/>
  <c r="S42" i="29" s="1"/>
  <c r="O68" i="13"/>
  <c r="S102" i="13"/>
  <c r="S106" i="13" s="1"/>
  <c r="R150" i="13"/>
  <c r="S150" i="13"/>
  <c r="Q80" i="11"/>
  <c r="Q83" i="11" s="1"/>
  <c r="P67" i="13"/>
  <c r="J34" i="15"/>
  <c r="N68" i="13"/>
  <c r="H86" i="15"/>
  <c r="J62" i="15"/>
  <c r="I62" i="15"/>
  <c r="Q60" i="15" l="1"/>
  <c r="R56" i="15"/>
  <c r="R54" i="15"/>
  <c r="N5" i="33"/>
  <c r="N27" i="15"/>
  <c r="N61" i="15"/>
  <c r="Q32" i="33"/>
  <c r="Q34" i="33" s="1"/>
  <c r="M5" i="33"/>
  <c r="M27" i="15"/>
  <c r="M61" i="15"/>
  <c r="L19" i="33"/>
  <c r="L6" i="33"/>
  <c r="R12" i="33"/>
  <c r="R26" i="33"/>
  <c r="P12" i="33"/>
  <c r="P26" i="33"/>
  <c r="L62" i="15"/>
  <c r="K62" i="15"/>
  <c r="O91" i="13"/>
  <c r="P68" i="13"/>
  <c r="R80" i="11"/>
  <c r="R83" i="11" s="1"/>
  <c r="Q67" i="13"/>
  <c r="N91" i="13"/>
  <c r="N68" i="29" s="1"/>
  <c r="I86" i="15"/>
  <c r="O5" i="33" l="1"/>
  <c r="O61" i="15"/>
  <c r="O27" i="15"/>
  <c r="R32" i="33"/>
  <c r="R34" i="33" s="1"/>
  <c r="N19" i="33"/>
  <c r="N6" i="33"/>
  <c r="R60" i="15"/>
  <c r="P32" i="33"/>
  <c r="P34" i="33" s="1"/>
  <c r="M19" i="33"/>
  <c r="M6" i="33"/>
  <c r="L28" i="15"/>
  <c r="L34" i="15"/>
  <c r="M62" i="15"/>
  <c r="K34" i="15"/>
  <c r="K28" i="15"/>
  <c r="P91" i="13"/>
  <c r="P68" i="29" s="1"/>
  <c r="O151" i="13"/>
  <c r="O124" i="13" s="1"/>
  <c r="O47" i="13" s="1"/>
  <c r="O89" i="29"/>
  <c r="O79" i="29"/>
  <c r="O71" i="29"/>
  <c r="O74" i="29"/>
  <c r="O83" i="29"/>
  <c r="O86" i="29"/>
  <c r="O77" i="29"/>
  <c r="O80" i="29"/>
  <c r="O72" i="29"/>
  <c r="O85" i="29"/>
  <c r="O76" i="29"/>
  <c r="O84" i="29"/>
  <c r="O75" i="29"/>
  <c r="O66" i="29"/>
  <c r="O73" i="29"/>
  <c r="O87" i="29"/>
  <c r="O78" i="29"/>
  <c r="O70" i="29"/>
  <c r="O82" i="29"/>
  <c r="O67" i="29"/>
  <c r="O68" i="29"/>
  <c r="Q68" i="13"/>
  <c r="S80" i="11"/>
  <c r="S83" i="11" s="1"/>
  <c r="S67" i="13" s="1"/>
  <c r="R67" i="13"/>
  <c r="N151" i="13"/>
  <c r="N124" i="13" s="1"/>
  <c r="N89" i="29"/>
  <c r="N83" i="29"/>
  <c r="N74" i="29"/>
  <c r="N79" i="29"/>
  <c r="N71" i="29"/>
  <c r="N85" i="29"/>
  <c r="N76" i="29"/>
  <c r="N75" i="29"/>
  <c r="N82" i="29"/>
  <c r="N73" i="29"/>
  <c r="N87" i="29"/>
  <c r="N78" i="29"/>
  <c r="N70" i="29"/>
  <c r="N84" i="29"/>
  <c r="N66" i="29"/>
  <c r="N72" i="29"/>
  <c r="N80" i="29"/>
  <c r="N86" i="29"/>
  <c r="N77" i="29"/>
  <c r="N67" i="29"/>
  <c r="J86" i="15"/>
  <c r="P5" i="33" l="1"/>
  <c r="P61" i="15"/>
  <c r="P27" i="15"/>
  <c r="O19" i="33"/>
  <c r="O6" i="33"/>
  <c r="N62" i="15"/>
  <c r="M34" i="15"/>
  <c r="M28" i="15"/>
  <c r="O91" i="29"/>
  <c r="R68" i="13"/>
  <c r="S68" i="13"/>
  <c r="P123" i="13"/>
  <c r="O53" i="13"/>
  <c r="N10" i="15" s="1"/>
  <c r="Q91" i="13"/>
  <c r="P151" i="13"/>
  <c r="P124" i="13" s="1"/>
  <c r="P47" i="13" s="1"/>
  <c r="P83" i="29"/>
  <c r="P74" i="29"/>
  <c r="P86" i="29"/>
  <c r="P77" i="29"/>
  <c r="P80" i="29"/>
  <c r="P72" i="29"/>
  <c r="P76" i="29"/>
  <c r="P79" i="29"/>
  <c r="P84" i="29"/>
  <c r="P75" i="29"/>
  <c r="P66" i="29"/>
  <c r="P87" i="29"/>
  <c r="P78" i="29"/>
  <c r="P70" i="29"/>
  <c r="P82" i="29"/>
  <c r="P73" i="29"/>
  <c r="P85" i="29"/>
  <c r="P89" i="29"/>
  <c r="P71" i="29"/>
  <c r="P67" i="29"/>
  <c r="N91" i="29"/>
  <c r="L97" i="11"/>
  <c r="R5" i="33" l="1"/>
  <c r="R61" i="15"/>
  <c r="R62" i="15" s="1"/>
  <c r="R27" i="15"/>
  <c r="P19" i="33"/>
  <c r="P6" i="33"/>
  <c r="Q5" i="33"/>
  <c r="Q61" i="15"/>
  <c r="Q62" i="15" s="1"/>
  <c r="Q27" i="15"/>
  <c r="O62" i="15"/>
  <c r="P62" i="15"/>
  <c r="N34" i="15"/>
  <c r="N28" i="15"/>
  <c r="P122" i="13"/>
  <c r="P120" i="13" s="1"/>
  <c r="P91" i="29"/>
  <c r="S91" i="13"/>
  <c r="S68" i="29" s="1"/>
  <c r="O95" i="13"/>
  <c r="O62" i="13"/>
  <c r="P53" i="13"/>
  <c r="O10" i="15" s="1"/>
  <c r="Q123" i="13"/>
  <c r="Q151" i="13"/>
  <c r="Q124" i="13" s="1"/>
  <c r="Q47" i="13" s="1"/>
  <c r="Q86" i="29"/>
  <c r="Q77" i="29"/>
  <c r="Q80" i="29"/>
  <c r="Q72" i="29"/>
  <c r="Q84" i="29"/>
  <c r="Q75" i="29"/>
  <c r="Q66" i="29"/>
  <c r="Q87" i="29"/>
  <c r="Q78" i="29"/>
  <c r="Q70" i="29"/>
  <c r="Q82" i="29"/>
  <c r="Q73" i="29"/>
  <c r="Q74" i="29"/>
  <c r="Q85" i="29"/>
  <c r="Q76" i="29"/>
  <c r="Q89" i="29"/>
  <c r="Q79" i="29"/>
  <c r="Q71" i="29"/>
  <c r="Q83" i="29"/>
  <c r="Q67" i="29"/>
  <c r="Q68" i="29"/>
  <c r="R91" i="13"/>
  <c r="R68" i="29" s="1"/>
  <c r="M97" i="11"/>
  <c r="Q34" i="15" l="1"/>
  <c r="Q28" i="15"/>
  <c r="Q6" i="33"/>
  <c r="Q19" i="33"/>
  <c r="R34" i="15"/>
  <c r="R28" i="15"/>
  <c r="N67" i="15"/>
  <c r="N31" i="15"/>
  <c r="N57" i="15" s="1"/>
  <c r="R6" i="33"/>
  <c r="R19" i="33"/>
  <c r="O34" i="15"/>
  <c r="O28" i="15"/>
  <c r="P34" i="15"/>
  <c r="P28" i="15"/>
  <c r="Q122" i="13"/>
  <c r="Q120" i="13" s="1"/>
  <c r="P95" i="13"/>
  <c r="P62" i="13"/>
  <c r="O93" i="13"/>
  <c r="O57" i="29"/>
  <c r="O60" i="29"/>
  <c r="O51" i="29"/>
  <c r="O49" i="29"/>
  <c r="O55" i="29"/>
  <c r="O58" i="29"/>
  <c r="O56" i="29"/>
  <c r="O59" i="29"/>
  <c r="O50" i="29"/>
  <c r="O48" i="29"/>
  <c r="O52" i="29"/>
  <c r="O47" i="29"/>
  <c r="R151" i="13"/>
  <c r="R124" i="13" s="1"/>
  <c r="R47" i="13" s="1"/>
  <c r="R80" i="29"/>
  <c r="R72" i="29"/>
  <c r="R84" i="29"/>
  <c r="R75" i="29"/>
  <c r="R66" i="29"/>
  <c r="R87" i="29"/>
  <c r="R78" i="29"/>
  <c r="R70" i="29"/>
  <c r="R82" i="29"/>
  <c r="R73" i="29"/>
  <c r="R85" i="29"/>
  <c r="R76" i="29"/>
  <c r="R86" i="29"/>
  <c r="R89" i="29"/>
  <c r="R79" i="29"/>
  <c r="R71" i="29"/>
  <c r="R83" i="29"/>
  <c r="R74" i="29"/>
  <c r="R77" i="29"/>
  <c r="R67" i="29"/>
  <c r="O53" i="29"/>
  <c r="Q91" i="29"/>
  <c r="Q53" i="13"/>
  <c r="P10" i="15" s="1"/>
  <c r="R123" i="13"/>
  <c r="S151" i="13"/>
  <c r="S124" i="13" s="1"/>
  <c r="S47" i="13" s="1"/>
  <c r="S84" i="29"/>
  <c r="S75" i="29"/>
  <c r="S66" i="29"/>
  <c r="S87" i="29"/>
  <c r="S78" i="29"/>
  <c r="S70" i="29"/>
  <c r="S82" i="29"/>
  <c r="S73" i="29"/>
  <c r="S72" i="29"/>
  <c r="S85" i="29"/>
  <c r="S76" i="29"/>
  <c r="S77" i="29"/>
  <c r="S89" i="29"/>
  <c r="S79" i="29"/>
  <c r="S71" i="29"/>
  <c r="S83" i="29"/>
  <c r="S74" i="29"/>
  <c r="S86" i="29"/>
  <c r="S80" i="29"/>
  <c r="S67" i="29"/>
  <c r="K130" i="11"/>
  <c r="K133" i="11" s="1"/>
  <c r="K138" i="11" s="1"/>
  <c r="J48" i="13"/>
  <c r="L48" i="13"/>
  <c r="L130" i="11"/>
  <c r="L133" i="11" s="1"/>
  <c r="L138" i="11" s="1"/>
  <c r="M130" i="11"/>
  <c r="M133" i="11" s="1"/>
  <c r="M138" i="11" s="1"/>
  <c r="K15" i="15" l="1"/>
  <c r="K75" i="15"/>
  <c r="K76" i="15" s="1"/>
  <c r="I15" i="15"/>
  <c r="I75" i="15"/>
  <c r="O15" i="33"/>
  <c r="O67" i="15"/>
  <c r="O31" i="15"/>
  <c r="O57" i="15" s="1"/>
  <c r="N12" i="15"/>
  <c r="N14" i="15"/>
  <c r="N17" i="15" s="1"/>
  <c r="S91" i="29"/>
  <c r="R91" i="29"/>
  <c r="O62" i="29"/>
  <c r="O93" i="29" s="1"/>
  <c r="S53" i="13"/>
  <c r="R10" i="15" s="1"/>
  <c r="P93" i="13"/>
  <c r="P57" i="29"/>
  <c r="P48" i="29"/>
  <c r="P60" i="29"/>
  <c r="P51" i="29"/>
  <c r="P55" i="29"/>
  <c r="P52" i="29"/>
  <c r="P50" i="29"/>
  <c r="P58" i="29"/>
  <c r="P49" i="29"/>
  <c r="P56" i="29"/>
  <c r="P59" i="29"/>
  <c r="P47" i="29"/>
  <c r="R122" i="13"/>
  <c r="R120" i="13" s="1"/>
  <c r="Q95" i="13"/>
  <c r="Q62" i="13"/>
  <c r="S123" i="13"/>
  <c r="S122" i="13" s="1"/>
  <c r="S120" i="13" s="1"/>
  <c r="R53" i="13"/>
  <c r="Q10" i="15" s="1"/>
  <c r="P53" i="29"/>
  <c r="L150" i="13"/>
  <c r="J150" i="13"/>
  <c r="M105" i="13"/>
  <c r="L105" i="13"/>
  <c r="K105" i="13"/>
  <c r="J97" i="13"/>
  <c r="I19" i="15" s="1"/>
  <c r="I22" i="15" s="1"/>
  <c r="G76" i="15"/>
  <c r="I76" i="15"/>
  <c r="L97" i="13"/>
  <c r="K19" i="15" s="1"/>
  <c r="K22" i="15" s="1"/>
  <c r="I48" i="13"/>
  <c r="O18" i="33" l="1"/>
  <c r="O16" i="33"/>
  <c r="P15" i="33"/>
  <c r="P67" i="15"/>
  <c r="P31" i="15"/>
  <c r="P57" i="15" s="1"/>
  <c r="R14" i="15"/>
  <c r="R17" i="15" s="1"/>
  <c r="R12" i="15"/>
  <c r="Q14" i="15"/>
  <c r="Q17" i="15" s="1"/>
  <c r="Q12" i="15"/>
  <c r="O12" i="15"/>
  <c r="O14" i="15"/>
  <c r="O17" i="15" s="1"/>
  <c r="P14" i="15"/>
  <c r="P17" i="15" s="1"/>
  <c r="P12" i="15"/>
  <c r="P62" i="29"/>
  <c r="P93" i="29" s="1"/>
  <c r="Q93" i="13"/>
  <c r="Q60" i="29"/>
  <c r="Q51" i="29"/>
  <c r="Q58" i="29"/>
  <c r="Q49" i="29"/>
  <c r="Q56" i="29"/>
  <c r="Q48" i="29"/>
  <c r="Q52" i="29"/>
  <c r="Q59" i="29"/>
  <c r="Q50" i="29"/>
  <c r="Q57" i="29"/>
  <c r="Q55" i="29"/>
  <c r="Q47" i="29"/>
  <c r="R62" i="13"/>
  <c r="R95" i="13"/>
  <c r="Q53" i="29"/>
  <c r="S95" i="13"/>
  <c r="S62" i="13"/>
  <c r="L106" i="13"/>
  <c r="K18" i="18"/>
  <c r="K20" i="18" s="1"/>
  <c r="M106" i="13"/>
  <c r="L18" i="18"/>
  <c r="L20" i="18" s="1"/>
  <c r="K106" i="13"/>
  <c r="J18" i="18"/>
  <c r="J20" i="18" s="1"/>
  <c r="I150" i="13"/>
  <c r="F76" i="15"/>
  <c r="I97" i="13"/>
  <c r="H19" i="15" s="1"/>
  <c r="H22" i="15" s="1"/>
  <c r="J130" i="11"/>
  <c r="J133" i="11" s="1"/>
  <c r="J138" i="11" s="1"/>
  <c r="I130" i="11"/>
  <c r="I133" i="11" s="1"/>
  <c r="I138" i="11" s="1"/>
  <c r="P18" i="33" l="1"/>
  <c r="P16" i="33"/>
  <c r="R15" i="33"/>
  <c r="R31" i="15"/>
  <c r="R67" i="15"/>
  <c r="Q15" i="33"/>
  <c r="Q67" i="15"/>
  <c r="Q68" i="15" s="1"/>
  <c r="Q31" i="15"/>
  <c r="O20" i="33"/>
  <c r="O22" i="33" s="1"/>
  <c r="O27" i="33"/>
  <c r="S53" i="29"/>
  <c r="O71" i="15"/>
  <c r="O72" i="15" s="1"/>
  <c r="N68" i="15"/>
  <c r="N58" i="15"/>
  <c r="N35" i="15"/>
  <c r="N36" i="15" s="1"/>
  <c r="N32" i="15"/>
  <c r="O68" i="15"/>
  <c r="Q62" i="29"/>
  <c r="Q93" i="29" s="1"/>
  <c r="R93" i="13"/>
  <c r="R55" i="29"/>
  <c r="R58" i="29"/>
  <c r="R49" i="29"/>
  <c r="R52" i="29"/>
  <c r="R56" i="29"/>
  <c r="R59" i="29"/>
  <c r="R57" i="29"/>
  <c r="R60" i="29"/>
  <c r="R51" i="29"/>
  <c r="R50" i="29"/>
  <c r="R48" i="29"/>
  <c r="R47" i="29"/>
  <c r="R53" i="29"/>
  <c r="S93" i="13"/>
  <c r="S58" i="29"/>
  <c r="S49" i="29"/>
  <c r="S56" i="29"/>
  <c r="S60" i="29"/>
  <c r="S62" i="29" s="1"/>
  <c r="S93" i="29" s="1"/>
  <c r="S55" i="29"/>
  <c r="S52" i="29"/>
  <c r="S59" i="29"/>
  <c r="S50" i="29"/>
  <c r="S57" i="29"/>
  <c r="S48" i="29"/>
  <c r="S51" i="29"/>
  <c r="S47" i="29"/>
  <c r="I105" i="13"/>
  <c r="H18" i="18" s="1"/>
  <c r="H20" i="18" s="1"/>
  <c r="J105" i="13"/>
  <c r="L26" i="18"/>
  <c r="K26" i="18"/>
  <c r="J26" i="18"/>
  <c r="Q57" i="15" l="1"/>
  <c r="Q58" i="15" s="1"/>
  <c r="Q35" i="15"/>
  <c r="Q36" i="15" s="1"/>
  <c r="Q32" i="15"/>
  <c r="Q18" i="33"/>
  <c r="Q16" i="33"/>
  <c r="R71" i="15"/>
  <c r="R72" i="15" s="1"/>
  <c r="R68" i="15"/>
  <c r="R57" i="15"/>
  <c r="R58" i="15" s="1"/>
  <c r="R35" i="15"/>
  <c r="R36" i="15" s="1"/>
  <c r="R32" i="15"/>
  <c r="R18" i="33"/>
  <c r="R16" i="33"/>
  <c r="O37" i="33"/>
  <c r="O38" i="33" s="1"/>
  <c r="O40" i="33" s="1"/>
  <c r="O28" i="33"/>
  <c r="P20" i="33"/>
  <c r="P22" i="33" s="1"/>
  <c r="P27" i="33"/>
  <c r="O58" i="15"/>
  <c r="O35" i="15"/>
  <c r="O36" i="15" s="1"/>
  <c r="O32" i="15"/>
  <c r="P71" i="15"/>
  <c r="P72" i="15" s="1"/>
  <c r="Q71" i="15"/>
  <c r="Q72" i="15" s="1"/>
  <c r="P68" i="15"/>
  <c r="P35" i="15"/>
  <c r="P36" i="15" s="1"/>
  <c r="P58" i="15"/>
  <c r="P32" i="15"/>
  <c r="R62" i="29"/>
  <c r="R93" i="29" s="1"/>
  <c r="J106" i="13"/>
  <c r="I18" i="18"/>
  <c r="I20" i="18" s="1"/>
  <c r="H26" i="18"/>
  <c r="Q20" i="33" l="1"/>
  <c r="Q22" i="33" s="1"/>
  <c r="Q27" i="33"/>
  <c r="P37" i="33"/>
  <c r="P38" i="33" s="1"/>
  <c r="P40" i="33" s="1"/>
  <c r="P28" i="33"/>
  <c r="R20" i="33"/>
  <c r="R22" i="33" s="1"/>
  <c r="R27" i="33"/>
  <c r="I26" i="18"/>
  <c r="C34" i="18" s="1"/>
  <c r="I87" i="13"/>
  <c r="I91" i="13" s="1"/>
  <c r="J87" i="13"/>
  <c r="J91" i="13" s="1"/>
  <c r="K87" i="13"/>
  <c r="K91" i="13" s="1"/>
  <c r="L87" i="13"/>
  <c r="L91" i="13" s="1"/>
  <c r="M87" i="13"/>
  <c r="M91" i="13" s="1"/>
  <c r="H28" i="15"/>
  <c r="I30" i="15"/>
  <c r="I80" i="15" s="1"/>
  <c r="I82" i="15" s="1"/>
  <c r="J28" i="15"/>
  <c r="Q37" i="33" l="1"/>
  <c r="Q38" i="33" s="1"/>
  <c r="Q40" i="33" s="1"/>
  <c r="Q28" i="33"/>
  <c r="R37" i="33"/>
  <c r="R38" i="33" s="1"/>
  <c r="R40" i="33" s="1"/>
  <c r="R28" i="33"/>
  <c r="C52" i="18"/>
  <c r="C53" i="18" s="1"/>
  <c r="C54" i="18" s="1"/>
  <c r="C35" i="18"/>
  <c r="C36" i="18" s="1"/>
  <c r="J151" i="13"/>
  <c r="J124" i="13" s="1"/>
  <c r="J87" i="29"/>
  <c r="J78" i="29"/>
  <c r="J70" i="29"/>
  <c r="J84" i="29"/>
  <c r="J75" i="29"/>
  <c r="J66" i="29"/>
  <c r="J80" i="29"/>
  <c r="J72" i="29"/>
  <c r="J79" i="29"/>
  <c r="J76" i="29"/>
  <c r="J86" i="29"/>
  <c r="J77" i="29"/>
  <c r="J89" i="29"/>
  <c r="J83" i="29"/>
  <c r="J74" i="29"/>
  <c r="J71" i="29"/>
  <c r="J85" i="29"/>
  <c r="J82" i="29"/>
  <c r="J73" i="29"/>
  <c r="J67" i="29"/>
  <c r="J68" i="29"/>
  <c r="L151" i="13"/>
  <c r="L124" i="13" s="1"/>
  <c r="L80" i="29"/>
  <c r="L72" i="29"/>
  <c r="L77" i="29"/>
  <c r="L89" i="29"/>
  <c r="L83" i="29"/>
  <c r="L74" i="29"/>
  <c r="L82" i="29"/>
  <c r="L73" i="29"/>
  <c r="L87" i="29"/>
  <c r="L78" i="29"/>
  <c r="L70" i="29"/>
  <c r="L79" i="29"/>
  <c r="L71" i="29"/>
  <c r="L85" i="29"/>
  <c r="L76" i="29"/>
  <c r="L84" i="29"/>
  <c r="L75" i="29"/>
  <c r="L66" i="29"/>
  <c r="L86" i="29"/>
  <c r="L67" i="29"/>
  <c r="L68" i="29"/>
  <c r="I82" i="29"/>
  <c r="I73" i="29"/>
  <c r="I78" i="29"/>
  <c r="I87" i="29"/>
  <c r="I70" i="29"/>
  <c r="I84" i="29"/>
  <c r="I75" i="29"/>
  <c r="I66" i="29"/>
  <c r="I83" i="29"/>
  <c r="I80" i="29"/>
  <c r="I72" i="29"/>
  <c r="I89" i="29"/>
  <c r="I79" i="29"/>
  <c r="I71" i="29"/>
  <c r="I86" i="29"/>
  <c r="I77" i="29"/>
  <c r="I74" i="29"/>
  <c r="I85" i="29"/>
  <c r="I76" i="29"/>
  <c r="I67" i="29"/>
  <c r="I68" i="29"/>
  <c r="K151" i="13"/>
  <c r="K124" i="13" s="1"/>
  <c r="K84" i="29"/>
  <c r="K75" i="29"/>
  <c r="K66" i="29"/>
  <c r="K80" i="29"/>
  <c r="K72" i="29"/>
  <c r="K86" i="29"/>
  <c r="K77" i="29"/>
  <c r="K82" i="29"/>
  <c r="K73" i="29"/>
  <c r="K89" i="29"/>
  <c r="K83" i="29"/>
  <c r="K74" i="29"/>
  <c r="K79" i="29"/>
  <c r="K71" i="29"/>
  <c r="K85" i="29"/>
  <c r="K76" i="29"/>
  <c r="K87" i="29"/>
  <c r="K78" i="29"/>
  <c r="K70" i="29"/>
  <c r="K67" i="29"/>
  <c r="K68" i="29"/>
  <c r="M151" i="13"/>
  <c r="M124" i="13" s="1"/>
  <c r="M86" i="29"/>
  <c r="M77" i="29"/>
  <c r="M83" i="29"/>
  <c r="M89" i="29"/>
  <c r="M74" i="29"/>
  <c r="M79" i="29"/>
  <c r="M71" i="29"/>
  <c r="M87" i="29"/>
  <c r="M70" i="29"/>
  <c r="M84" i="29"/>
  <c r="M85" i="29"/>
  <c r="M76" i="29"/>
  <c r="M82" i="29"/>
  <c r="M73" i="29"/>
  <c r="M78" i="29"/>
  <c r="M75" i="29"/>
  <c r="M66" i="29"/>
  <c r="M80" i="29"/>
  <c r="M72" i="29"/>
  <c r="M67" i="29"/>
  <c r="M68" i="29"/>
  <c r="I151" i="13"/>
  <c r="I124" i="13" s="1"/>
  <c r="I122" i="13" s="1"/>
  <c r="I120" i="13" s="1"/>
  <c r="J30" i="15"/>
  <c r="J80" i="15" s="1"/>
  <c r="J82" i="15" s="1"/>
  <c r="H30" i="15"/>
  <c r="H80" i="15" s="1"/>
  <c r="H82" i="15" s="1"/>
  <c r="I28" i="15"/>
  <c r="G30" i="15"/>
  <c r="G28" i="15"/>
  <c r="F30" i="15"/>
  <c r="F28" i="15"/>
  <c r="C37" i="18" l="1"/>
  <c r="C55" i="18"/>
  <c r="I91" i="29"/>
  <c r="J91" i="29"/>
  <c r="M91" i="29"/>
  <c r="K91" i="29"/>
  <c r="L91" i="29"/>
  <c r="I47" i="13"/>
  <c r="F80" i="15"/>
  <c r="F82" i="15" s="1"/>
  <c r="G80" i="15"/>
  <c r="G82" i="15" s="1"/>
  <c r="J123" i="13" l="1"/>
  <c r="J122" i="13" s="1"/>
  <c r="J120" i="13" s="1"/>
  <c r="I113" i="13"/>
  <c r="I106" i="13"/>
  <c r="L786" i="23" l="1"/>
  <c r="L795" i="23" s="1"/>
  <c r="J47" i="13"/>
  <c r="K123" i="13" l="1"/>
  <c r="K122" i="13" s="1"/>
  <c r="K120" i="13" s="1"/>
  <c r="L788" i="23"/>
  <c r="M786" i="23"/>
  <c r="M795" i="23" s="1"/>
  <c r="J53" i="13"/>
  <c r="I10" i="15" s="1"/>
  <c r="K47" i="13"/>
  <c r="L123" i="13" l="1"/>
  <c r="L122" i="13" s="1"/>
  <c r="L120" i="13" s="1"/>
  <c r="M788" i="23"/>
  <c r="J62" i="13"/>
  <c r="J95" i="13"/>
  <c r="N786" i="23"/>
  <c r="N795" i="23" s="1"/>
  <c r="L47" i="13"/>
  <c r="K53" i="13"/>
  <c r="J10" i="15" s="1"/>
  <c r="I67" i="15" l="1"/>
  <c r="I31" i="15"/>
  <c r="I57" i="15" s="1"/>
  <c r="J58" i="29"/>
  <c r="J59" i="29"/>
  <c r="J55" i="29"/>
  <c r="J56" i="29"/>
  <c r="J57" i="29"/>
  <c r="J60" i="29"/>
  <c r="M790" i="23"/>
  <c r="M791" i="23" s="1"/>
  <c r="J50" i="29"/>
  <c r="J49" i="29"/>
  <c r="J51" i="29"/>
  <c r="J52" i="29"/>
  <c r="J48" i="29"/>
  <c r="J47" i="29"/>
  <c r="M123" i="13"/>
  <c r="M122" i="13" s="1"/>
  <c r="M120" i="13" s="1"/>
  <c r="J53" i="29"/>
  <c r="N788" i="23"/>
  <c r="J93" i="13"/>
  <c r="K62" i="13"/>
  <c r="K95" i="13"/>
  <c r="L53" i="13"/>
  <c r="K10" i="15" s="1"/>
  <c r="O786" i="23"/>
  <c r="O795" i="23" s="1"/>
  <c r="M47" i="13"/>
  <c r="G14" i="15"/>
  <c r="G17" i="15" s="1"/>
  <c r="G12" i="15"/>
  <c r="J15" i="33" l="1"/>
  <c r="J31" i="15"/>
  <c r="J57" i="15" s="1"/>
  <c r="J67" i="15"/>
  <c r="K59" i="29"/>
  <c r="K55" i="29"/>
  <c r="K57" i="29"/>
  <c r="K60" i="29"/>
  <c r="K56" i="29"/>
  <c r="K58" i="29"/>
  <c r="J98" i="29"/>
  <c r="J99" i="29" s="1"/>
  <c r="N790" i="23"/>
  <c r="N791" i="23" s="1"/>
  <c r="K50" i="29"/>
  <c r="K52" i="29"/>
  <c r="K51" i="29"/>
  <c r="K49" i="29"/>
  <c r="K48" i="29"/>
  <c r="K47" i="29"/>
  <c r="J62" i="29"/>
  <c r="J93" i="29" s="1"/>
  <c r="N123" i="13"/>
  <c r="N122" i="13" s="1"/>
  <c r="N120" i="13" s="1"/>
  <c r="K53" i="29"/>
  <c r="O788" i="23"/>
  <c r="L62" i="13"/>
  <c r="L95" i="13"/>
  <c r="K93" i="13"/>
  <c r="N47" i="13"/>
  <c r="O123" i="13" s="1"/>
  <c r="O122" i="13" s="1"/>
  <c r="O120" i="13" s="1"/>
  <c r="M53" i="13"/>
  <c r="L10" i="15" s="1"/>
  <c r="P786" i="23"/>
  <c r="P795" i="23" s="1"/>
  <c r="K15" i="33" l="1"/>
  <c r="K67" i="15"/>
  <c r="K31" i="15"/>
  <c r="K57" i="15" s="1"/>
  <c r="J18" i="33"/>
  <c r="J16" i="33"/>
  <c r="L14" i="15"/>
  <c r="L17" i="15" s="1"/>
  <c r="L12" i="15"/>
  <c r="L59" i="29"/>
  <c r="L55" i="29"/>
  <c r="L58" i="29"/>
  <c r="L60" i="29"/>
  <c r="L56" i="29"/>
  <c r="L57" i="29"/>
  <c r="K62" i="29"/>
  <c r="K93" i="29" s="1"/>
  <c r="O790" i="23"/>
  <c r="O791" i="23" s="1"/>
  <c r="L52" i="29"/>
  <c r="L50" i="29"/>
  <c r="L51" i="29"/>
  <c r="L49" i="29"/>
  <c r="L48" i="29"/>
  <c r="L47" i="29"/>
  <c r="K98" i="29"/>
  <c r="K99" i="29" s="1"/>
  <c r="L53" i="29"/>
  <c r="P788" i="23"/>
  <c r="N53" i="13"/>
  <c r="M10" i="15" s="1"/>
  <c r="Q786" i="23"/>
  <c r="Q795" i="23" s="1"/>
  <c r="M62" i="13"/>
  <c r="M95" i="13"/>
  <c r="L93" i="13"/>
  <c r="I14" i="15"/>
  <c r="I17" i="15" s="1"/>
  <c r="I12" i="15"/>
  <c r="M53" i="29" l="1"/>
  <c r="L15" i="33"/>
  <c r="L67" i="15"/>
  <c r="L68" i="15" s="1"/>
  <c r="L31" i="15"/>
  <c r="J20" i="33"/>
  <c r="J22" i="33" s="1"/>
  <c r="J27" i="33"/>
  <c r="K18" i="33"/>
  <c r="K16" i="33"/>
  <c r="M14" i="15"/>
  <c r="M17" i="15" s="1"/>
  <c r="M12" i="15"/>
  <c r="K14" i="15"/>
  <c r="K17" i="15" s="1"/>
  <c r="K12" i="15"/>
  <c r="M60" i="29"/>
  <c r="M58" i="29"/>
  <c r="M57" i="29"/>
  <c r="M59" i="29"/>
  <c r="M55" i="29"/>
  <c r="M56" i="29"/>
  <c r="P790" i="23"/>
  <c r="P791" i="23" s="1"/>
  <c r="M52" i="29"/>
  <c r="M51" i="29"/>
  <c r="M50" i="29"/>
  <c r="M49" i="29"/>
  <c r="M48" i="29"/>
  <c r="M47" i="29"/>
  <c r="L62" i="29"/>
  <c r="L93" i="29" s="1"/>
  <c r="L98" i="29"/>
  <c r="L99" i="29" s="1"/>
  <c r="Q788" i="23"/>
  <c r="N62" i="13"/>
  <c r="N95" i="13"/>
  <c r="J14" i="15"/>
  <c r="J17" i="15" s="1"/>
  <c r="J12" i="15"/>
  <c r="M93" i="13"/>
  <c r="I58" i="15"/>
  <c r="I35" i="15"/>
  <c r="I36" i="15" s="1"/>
  <c r="I32" i="15"/>
  <c r="I68" i="15"/>
  <c r="M62" i="29" l="1"/>
  <c r="M93" i="29" s="1"/>
  <c r="K27" i="33"/>
  <c r="K20" i="33"/>
  <c r="K22" i="33" s="1"/>
  <c r="J37" i="33"/>
  <c r="J38" i="33" s="1"/>
  <c r="J40" i="33" s="1"/>
  <c r="J28" i="33"/>
  <c r="M15" i="33"/>
  <c r="M67" i="15"/>
  <c r="M31" i="15"/>
  <c r="N15" i="33"/>
  <c r="L57" i="15"/>
  <c r="L58" i="15" s="1"/>
  <c r="L32" i="15"/>
  <c r="L35" i="15"/>
  <c r="L36" i="15" s="1"/>
  <c r="L16" i="33"/>
  <c r="L18" i="33"/>
  <c r="N60" i="29"/>
  <c r="N56" i="29"/>
  <c r="N57" i="29"/>
  <c r="N58" i="29"/>
  <c r="N59" i="29"/>
  <c r="N55" i="29"/>
  <c r="N53" i="29"/>
  <c r="M98" i="29"/>
  <c r="M99" i="29" s="1"/>
  <c r="N50" i="29"/>
  <c r="N49" i="29"/>
  <c r="N51" i="29"/>
  <c r="N52" i="29"/>
  <c r="N48" i="29"/>
  <c r="N47" i="29"/>
  <c r="N93" i="13"/>
  <c r="Q790" i="23"/>
  <c r="Q791" i="23" s="1"/>
  <c r="J71" i="15"/>
  <c r="J72" i="15" s="1"/>
  <c r="J68" i="15"/>
  <c r="J58" i="15"/>
  <c r="J32" i="15"/>
  <c r="J35" i="15"/>
  <c r="J36" i="15" s="1"/>
  <c r="I53" i="13"/>
  <c r="H10" i="15" s="1"/>
  <c r="M57" i="15" l="1"/>
  <c r="M58" i="15" s="1"/>
  <c r="M32" i="15"/>
  <c r="M35" i="15"/>
  <c r="M36" i="15" s="1"/>
  <c r="L27" i="33"/>
  <c r="L20" i="33"/>
  <c r="L22" i="33" s="1"/>
  <c r="M18" i="33"/>
  <c r="M16" i="33"/>
  <c r="M71" i="15"/>
  <c r="M72" i="15" s="1"/>
  <c r="M68" i="15"/>
  <c r="N71" i="15"/>
  <c r="N72" i="15" s="1"/>
  <c r="N18" i="33"/>
  <c r="N16" i="33"/>
  <c r="K37" i="33"/>
  <c r="K38" i="33" s="1"/>
  <c r="K40" i="33" s="1"/>
  <c r="K28" i="33"/>
  <c r="H14" i="15"/>
  <c r="H17" i="15" s="1"/>
  <c r="H12" i="15"/>
  <c r="K71" i="15"/>
  <c r="K72" i="15" s="1"/>
  <c r="K68" i="15"/>
  <c r="L71" i="15"/>
  <c r="L72" i="15" s="1"/>
  <c r="K58" i="15"/>
  <c r="K35" i="15"/>
  <c r="K36" i="15" s="1"/>
  <c r="K32" i="15"/>
  <c r="N62" i="29"/>
  <c r="N93" i="29" s="1"/>
  <c r="F14" i="15"/>
  <c r="F17" i="15" s="1"/>
  <c r="N98" i="29"/>
  <c r="N99" i="29" s="1"/>
  <c r="I95" i="13"/>
  <c r="I62" i="13"/>
  <c r="H67" i="15" l="1"/>
  <c r="H31" i="15"/>
  <c r="I15" i="33"/>
  <c r="M20" i="33"/>
  <c r="M22" i="33" s="1"/>
  <c r="M27" i="33"/>
  <c r="L28" i="33"/>
  <c r="L37" i="33"/>
  <c r="L38" i="33" s="1"/>
  <c r="L40" i="33" s="1"/>
  <c r="N20" i="33"/>
  <c r="N22" i="33" s="1"/>
  <c r="N27" i="33"/>
  <c r="F12" i="15"/>
  <c r="I59" i="29"/>
  <c r="I55" i="29"/>
  <c r="I56" i="29"/>
  <c r="I57" i="29"/>
  <c r="I58" i="29"/>
  <c r="I60" i="29"/>
  <c r="I50" i="29"/>
  <c r="I49" i="29"/>
  <c r="I51" i="29"/>
  <c r="I52" i="29"/>
  <c r="I48" i="29"/>
  <c r="I47" i="29"/>
  <c r="I53" i="29"/>
  <c r="L790" i="23"/>
  <c r="L791" i="23" s="1"/>
  <c r="I93" i="13"/>
  <c r="M37" i="33" l="1"/>
  <c r="M38" i="33" s="1"/>
  <c r="M40" i="33" s="1"/>
  <c r="M28" i="33"/>
  <c r="I18" i="33"/>
  <c r="I16" i="33"/>
  <c r="H57" i="15"/>
  <c r="H58" i="15" s="1"/>
  <c r="H35" i="15"/>
  <c r="H36" i="15" s="1"/>
  <c r="H32" i="15"/>
  <c r="N37" i="33"/>
  <c r="N38" i="33" s="1"/>
  <c r="N40" i="33" s="1"/>
  <c r="N28" i="33"/>
  <c r="H68" i="15"/>
  <c r="I71" i="15"/>
  <c r="I72" i="15" s="1"/>
  <c r="I62" i="29"/>
  <c r="I93" i="29" s="1"/>
  <c r="I98" i="29"/>
  <c r="I99" i="29" s="1"/>
  <c r="I118" i="13"/>
  <c r="I27" i="33" l="1"/>
  <c r="I20" i="33"/>
  <c r="I22" i="33" s="1"/>
  <c r="I37" i="33" l="1"/>
  <c r="I38" i="33" s="1"/>
  <c r="I40" i="33" s="1"/>
  <c r="I28" i="33"/>
  <c r="D57" i="13"/>
  <c r="E57" i="13"/>
  <c r="F57" i="13"/>
  <c r="G57" i="13"/>
  <c r="H57" i="13"/>
  <c r="D60" i="13"/>
  <c r="E60" i="13"/>
  <c r="F60" i="13"/>
  <c r="G60" i="13"/>
  <c r="H60" i="13"/>
  <c r="D62" i="13"/>
  <c r="E62" i="13"/>
  <c r="F62" i="13"/>
  <c r="G62" i="13"/>
  <c r="H62" i="13"/>
  <c r="D93" i="13"/>
  <c r="E93" i="13"/>
  <c r="F93" i="13"/>
  <c r="G93" i="13"/>
  <c r="H93" i="13"/>
  <c r="D109" i="13"/>
  <c r="E109" i="13"/>
  <c r="F109" i="13"/>
  <c r="G109" i="13"/>
  <c r="H109" i="13"/>
  <c r="I109" i="13"/>
  <c r="D113" i="13"/>
  <c r="E113" i="13"/>
  <c r="F113" i="13"/>
  <c r="G113" i="13"/>
  <c r="H113" i="13"/>
  <c r="D120" i="13"/>
  <c r="E120" i="13"/>
  <c r="F120" i="13"/>
  <c r="G120" i="13"/>
  <c r="H120" i="13"/>
  <c r="C590" i="23"/>
  <c r="D590" i="23"/>
  <c r="E590" i="23"/>
  <c r="F590" i="23"/>
  <c r="G590" i="23"/>
  <c r="H590" i="23"/>
  <c r="I590" i="23"/>
  <c r="J590" i="23"/>
  <c r="K590" i="23"/>
  <c r="C592" i="23"/>
  <c r="D592" i="23"/>
  <c r="E592" i="23"/>
  <c r="F592" i="23"/>
  <c r="G592" i="23"/>
  <c r="H592" i="23"/>
  <c r="I592" i="23"/>
  <c r="J592" i="23"/>
  <c r="K592" i="23"/>
  <c r="M592" i="23"/>
  <c r="N592" i="23"/>
  <c r="C11" i="25"/>
  <c r="D11" i="25"/>
  <c r="E11" i="25"/>
  <c r="F11" i="25"/>
  <c r="G11" i="25"/>
  <c r="H11" i="25"/>
  <c r="I11" i="25"/>
  <c r="J11" i="25"/>
  <c r="K11" i="25"/>
  <c r="C12" i="25"/>
  <c r="D13" i="25"/>
  <c r="E13" i="25"/>
  <c r="F13" i="25"/>
  <c r="G13" i="25"/>
  <c r="H13" i="25"/>
  <c r="I13" i="25"/>
  <c r="J13" i="25"/>
  <c r="K13" i="25"/>
  <c r="D13" i="26"/>
  <c r="E13" i="26"/>
  <c r="F13" i="26"/>
  <c r="G13" i="26"/>
  <c r="H13" i="26"/>
  <c r="I13" i="26"/>
  <c r="J13" i="26"/>
  <c r="K13" i="26"/>
  <c r="D17" i="26"/>
  <c r="E17" i="26"/>
  <c r="F17" i="26"/>
  <c r="G17" i="26"/>
  <c r="H17" i="26"/>
  <c r="I17" i="26"/>
  <c r="J17" i="26"/>
  <c r="K17" i="26"/>
  <c r="D25" i="26"/>
  <c r="E25" i="26"/>
  <c r="F25" i="26"/>
  <c r="G25" i="26"/>
  <c r="H25" i="26"/>
  <c r="I25" i="26"/>
  <c r="J25" i="26"/>
  <c r="K25" i="26"/>
  <c r="D47" i="29"/>
  <c r="E47" i="29"/>
  <c r="F47" i="29"/>
  <c r="G47" i="29"/>
  <c r="H47" i="29"/>
  <c r="D48" i="29"/>
  <c r="E48" i="29"/>
  <c r="F48" i="29"/>
  <c r="G48" i="29"/>
  <c r="H48" i="29"/>
  <c r="D49" i="29"/>
  <c r="E49" i="29"/>
  <c r="F49" i="29"/>
  <c r="G49" i="29"/>
  <c r="H49" i="29"/>
  <c r="D50" i="29"/>
  <c r="E50" i="29"/>
  <c r="F50" i="29"/>
  <c r="G50" i="29"/>
  <c r="H50" i="29"/>
  <c r="D51" i="29"/>
  <c r="E51" i="29"/>
  <c r="F51" i="29"/>
  <c r="G51" i="29"/>
  <c r="H51" i="29"/>
  <c r="D52" i="29"/>
  <c r="E52" i="29"/>
  <c r="F52" i="29"/>
  <c r="G52" i="29"/>
  <c r="H52" i="29"/>
  <c r="D53" i="29"/>
  <c r="E53" i="29"/>
  <c r="F53" i="29"/>
  <c r="G53" i="29"/>
  <c r="H53" i="29"/>
  <c r="D55" i="29"/>
  <c r="E55" i="29"/>
  <c r="F55" i="29"/>
  <c r="G55" i="29"/>
  <c r="H55" i="29"/>
  <c r="D56" i="29"/>
  <c r="E56" i="29"/>
  <c r="F56" i="29"/>
  <c r="G56" i="29"/>
  <c r="H56" i="29"/>
  <c r="D57" i="29"/>
  <c r="E57" i="29"/>
  <c r="F57" i="29"/>
  <c r="G57" i="29"/>
  <c r="H57" i="29"/>
  <c r="D58" i="29"/>
  <c r="E58" i="29"/>
  <c r="F58" i="29"/>
  <c r="G58" i="29"/>
  <c r="H58" i="29"/>
  <c r="D59" i="29"/>
  <c r="E59" i="29"/>
  <c r="F59" i="29"/>
  <c r="G59" i="29"/>
  <c r="H59" i="29"/>
  <c r="D60" i="29"/>
  <c r="E60" i="29"/>
  <c r="F60" i="29"/>
  <c r="G60" i="29"/>
  <c r="H60" i="29"/>
  <c r="D62" i="29"/>
  <c r="E62" i="29"/>
  <c r="F62" i="29"/>
  <c r="G62" i="29"/>
  <c r="H62" i="29"/>
  <c r="D93" i="29"/>
  <c r="E93" i="29"/>
  <c r="F93" i="29"/>
  <c r="G93" i="29"/>
  <c r="H93" i="29"/>
  <c r="C84" i="6"/>
  <c r="D84" i="6"/>
  <c r="E84" i="6"/>
  <c r="F84" i="6"/>
  <c r="G84" i="6"/>
  <c r="C85" i="6"/>
  <c r="D85" i="6"/>
  <c r="E85" i="6"/>
  <c r="F85" i="6"/>
  <c r="G85" i="6"/>
  <c r="C86" i="6"/>
  <c r="D86" i="6"/>
  <c r="E86" i="6"/>
  <c r="F86" i="6"/>
  <c r="G86" i="6"/>
  <c r="C41" i="18"/>
  <c r="C42" i="18"/>
  <c r="C43" i="18"/>
  <c r="C44" i="18"/>
  <c r="C59" i="18"/>
  <c r="C60" i="18"/>
  <c r="C61" i="18"/>
  <c r="C62" i="18"/>
  <c r="C68" i="18"/>
  <c r="C78" i="18"/>
  <c r="D15" i="33"/>
  <c r="E15" i="33"/>
  <c r="F15" i="33"/>
  <c r="G15" i="33"/>
  <c r="H15" i="33"/>
  <c r="D16" i="33"/>
  <c r="E16" i="33"/>
  <c r="F16" i="33"/>
  <c r="G16" i="33"/>
  <c r="H16" i="33"/>
  <c r="D18" i="33"/>
  <c r="E18" i="33"/>
  <c r="F18" i="33"/>
  <c r="G18" i="33"/>
  <c r="H18" i="33"/>
  <c r="D20" i="33"/>
  <c r="E20" i="33"/>
  <c r="F20" i="33"/>
  <c r="G20" i="33"/>
  <c r="H20" i="33"/>
  <c r="D22" i="33"/>
  <c r="E22" i="33"/>
  <c r="F22" i="33"/>
  <c r="G22" i="33"/>
  <c r="H22" i="33"/>
  <c r="D27" i="33"/>
  <c r="E27" i="33"/>
  <c r="F27" i="33"/>
  <c r="G27" i="33"/>
  <c r="H27" i="33"/>
  <c r="D28" i="33"/>
  <c r="E28" i="33"/>
  <c r="F28" i="33"/>
  <c r="G28" i="33"/>
  <c r="H28" i="33"/>
  <c r="D37" i="33"/>
  <c r="E37" i="33"/>
  <c r="F37" i="33"/>
  <c r="G37" i="33"/>
  <c r="H37" i="33"/>
  <c r="D38" i="33"/>
  <c r="E38" i="33"/>
  <c r="F38" i="33"/>
  <c r="G38" i="33"/>
  <c r="H38" i="33"/>
  <c r="D40" i="33"/>
  <c r="E40" i="33"/>
  <c r="F40" i="33"/>
  <c r="G40" i="33"/>
  <c r="H40" i="33"/>
  <c r="D16" i="32"/>
  <c r="C21" i="32"/>
  <c r="C22" i="32"/>
  <c r="C24" i="32"/>
  <c r="C25" i="32"/>
  <c r="D27" i="32"/>
  <c r="E28" i="32"/>
  <c r="C31" i="15"/>
  <c r="D31" i="15"/>
  <c r="E31" i="15"/>
  <c r="F31" i="15"/>
  <c r="G31" i="15"/>
  <c r="C32" i="15"/>
  <c r="D32" i="15"/>
  <c r="E32" i="15"/>
  <c r="F32" i="15"/>
  <c r="G32" i="15"/>
  <c r="C35" i="15"/>
  <c r="D35" i="15"/>
  <c r="E35" i="15"/>
  <c r="F35" i="15"/>
  <c r="G35" i="15"/>
  <c r="C36" i="15"/>
  <c r="D36" i="15"/>
  <c r="E36" i="15"/>
  <c r="F36" i="15"/>
  <c r="G36" i="15"/>
  <c r="C57" i="15"/>
  <c r="D57" i="15"/>
  <c r="E57" i="15"/>
  <c r="F57" i="15"/>
  <c r="G57" i="15"/>
  <c r="C58" i="15"/>
  <c r="D58" i="15"/>
  <c r="E58" i="15"/>
  <c r="F58" i="15"/>
  <c r="G58" i="15"/>
  <c r="C67" i="15"/>
  <c r="D67" i="15"/>
  <c r="E67" i="15"/>
  <c r="F67" i="15"/>
  <c r="G67" i="15"/>
  <c r="C68" i="15"/>
  <c r="D68" i="15"/>
  <c r="E68" i="15"/>
  <c r="F68" i="15"/>
  <c r="G68" i="15"/>
  <c r="D71" i="15"/>
  <c r="E71" i="15"/>
  <c r="F71" i="15"/>
  <c r="G71" i="15"/>
  <c r="H71" i="15"/>
  <c r="D72" i="15"/>
  <c r="E72" i="15"/>
  <c r="F72" i="15"/>
  <c r="G72" i="15"/>
  <c r="H72" i="15"/>
  <c r="D61" i="11"/>
  <c r="E61" i="11"/>
  <c r="F61" i="11"/>
  <c r="G61" i="11"/>
  <c r="H61" i="11"/>
  <c r="D62" i="11"/>
  <c r="E62" i="11"/>
  <c r="F62" i="11"/>
  <c r="G62" i="11"/>
  <c r="H6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Akshay Manjarekar</author>
  </authors>
  <commentList>
    <comment ref="C8" authorId="0" shapeId="0" xr:uid="{F924A95E-FD28-45DA-BDE0-C0824DEA3A38}">
      <text>
        <r>
          <rPr>
            <b/>
            <sz val="9"/>
            <color indexed="81"/>
            <rFont val="Tahoma"/>
            <family val="2"/>
          </rPr>
          <t>Akshay Manjarekar:</t>
        </r>
        <r>
          <rPr>
            <sz val="9"/>
            <color indexed="81"/>
            <rFont val="Tahoma"/>
            <family val="2"/>
          </rPr>
          <t xml:space="preserve">
Take from Trading Economics website</t>
        </r>
      </text>
    </comment>
    <comment ref="C11" authorId="0" shapeId="0" xr:uid="{10A45DF7-B8C9-414B-874C-DB702EAD356A}">
      <text>
        <r>
          <rPr>
            <b/>
            <sz val="9"/>
            <color indexed="81"/>
            <rFont val="Tahoma"/>
            <family val="2"/>
          </rPr>
          <t>Akshay Manjarekar:</t>
        </r>
        <r>
          <rPr>
            <sz val="9"/>
            <color indexed="81"/>
            <rFont val="Tahoma"/>
            <family val="2"/>
          </rPr>
          <t xml:space="preserve">
Taken from Prof. Damodaran's Website
</t>
        </r>
      </text>
    </comment>
    <comment ref="C16" authorId="0" shapeId="0" xr:uid="{C876B8C0-7449-4901-800A-6BC92C2F9A75}">
      <text>
        <r>
          <rPr>
            <b/>
            <sz val="9"/>
            <color indexed="81"/>
            <rFont val="Tahoma"/>
            <family val="2"/>
          </rPr>
          <t>Akshay Manjarekar:</t>
        </r>
        <r>
          <rPr>
            <sz val="9"/>
            <color indexed="81"/>
            <rFont val="Tahoma"/>
            <family val="2"/>
          </rPr>
          <t xml:space="preserve">
Taken from Tax summaries PWC Website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Akshay Manjarekar</author>
  </authors>
  <commentList>
    <comment ref="I16" authorId="0" shapeId="0" xr:uid="{8A314069-FCB3-44B0-9CAA-3691E98514EB}">
      <text>
        <r>
          <rPr>
            <b/>
            <sz val="9"/>
            <color indexed="81"/>
            <rFont val="Tahoma"/>
            <family val="2"/>
          </rPr>
          <t>Akshay Manjarekar:</t>
        </r>
        <r>
          <rPr>
            <sz val="9"/>
            <color indexed="81"/>
            <rFont val="Tahoma"/>
            <family val="2"/>
          </rPr>
          <t xml:space="preserve">
Consensus Estimate</t>
        </r>
      </text>
    </comment>
  </commentList>
</comments>
</file>

<file path=xl/sharedStrings.xml><?xml version="1.0" encoding="utf-8"?>
<sst xmlns="http://schemas.openxmlformats.org/spreadsheetml/2006/main" count="2065" uniqueCount="1064">
  <si>
    <t>Sales</t>
  </si>
  <si>
    <t>Less: Cost of Goods Sold</t>
  </si>
  <si>
    <t>Gross Profit</t>
  </si>
  <si>
    <t>Depreciation</t>
  </si>
  <si>
    <t>Less: Taxes</t>
  </si>
  <si>
    <t>Net Income</t>
  </si>
  <si>
    <t>Assets</t>
  </si>
  <si>
    <t>Inventory</t>
  </si>
  <si>
    <t>Debtors</t>
  </si>
  <si>
    <t>Prepaid Expenses</t>
  </si>
  <si>
    <t>Other Current Assets</t>
  </si>
  <si>
    <t>Total Current Assets</t>
  </si>
  <si>
    <t>Other Non-Current Assets</t>
  </si>
  <si>
    <t>Total Non-Current Assets</t>
  </si>
  <si>
    <t>Total Assets</t>
  </si>
  <si>
    <t>Liabilities and Shareholders' Equity</t>
  </si>
  <si>
    <t>Other Current Liabilities</t>
  </si>
  <si>
    <t>Total Current Liabilities</t>
  </si>
  <si>
    <t>Other Non-Current Liabilities</t>
  </si>
  <si>
    <t>Total Non-Current Liabilities</t>
  </si>
  <si>
    <t>Equity Shares</t>
  </si>
  <si>
    <t>Retained Earnings</t>
  </si>
  <si>
    <t>Total Shareholders' Equity</t>
  </si>
  <si>
    <t>Total Liabilities and Shareholders' Equity</t>
  </si>
  <si>
    <t>Mrs Sector Food</t>
  </si>
  <si>
    <t>Control Sheet</t>
  </si>
  <si>
    <t>In INR Crores unless stated otherwise</t>
  </si>
  <si>
    <t>Actual</t>
  </si>
  <si>
    <t>Explicit Forcast Period</t>
  </si>
  <si>
    <t>#</t>
  </si>
  <si>
    <t>Management Case</t>
  </si>
  <si>
    <t>Down Case</t>
  </si>
  <si>
    <t>Current Case:</t>
  </si>
  <si>
    <t>Total Sales</t>
  </si>
  <si>
    <t>Best Case</t>
  </si>
  <si>
    <t xml:space="preserve"> </t>
  </si>
  <si>
    <t>COGS Schedule</t>
  </si>
  <si>
    <t>SG&amp;A (Excluding Depreciation &amp; Interest Expenses) Schedule</t>
  </si>
  <si>
    <t xml:space="preserve">Marginal Tax Rate </t>
  </si>
  <si>
    <t>Dividend Payout %</t>
  </si>
  <si>
    <t xml:space="preserve"> Non Current Asset Schedule</t>
  </si>
  <si>
    <t>Depreciation Schedule</t>
  </si>
  <si>
    <t xml:space="preserve">Less: Depreciation </t>
  </si>
  <si>
    <t>Revenue</t>
  </si>
  <si>
    <t>Add: Net Income</t>
  </si>
  <si>
    <t>Less: Dividend Paid</t>
  </si>
  <si>
    <t>Dividend Payout Rate %</t>
  </si>
  <si>
    <t>Working Capital Schedule</t>
  </si>
  <si>
    <t>COGS</t>
  </si>
  <si>
    <t>Debtor Days</t>
  </si>
  <si>
    <t>Inventory Days</t>
  </si>
  <si>
    <t>Other Current Assets % Sales</t>
  </si>
  <si>
    <t>Loan Schedule</t>
  </si>
  <si>
    <t>Interest Schedule</t>
  </si>
  <si>
    <t>3 Statement Model</t>
  </si>
  <si>
    <t>Less: SG&amp;A Expenses (Excluding Depreciation &amp; Interest)</t>
  </si>
  <si>
    <t xml:space="preserve">Less: Depreciation &amp; Amortization </t>
  </si>
  <si>
    <t>Earning before Interest &amp; Taxes</t>
  </si>
  <si>
    <t xml:space="preserve">      CAGR</t>
  </si>
  <si>
    <t>5 Years</t>
  </si>
  <si>
    <t>3 Years</t>
  </si>
  <si>
    <t>Sales Growth %</t>
  </si>
  <si>
    <t xml:space="preserve">Gross Profit Margin % </t>
  </si>
  <si>
    <t>EBITDA Margins %</t>
  </si>
  <si>
    <t>EBIT Margins %</t>
  </si>
  <si>
    <t>Actual Tax Rate %</t>
  </si>
  <si>
    <t>Net Income Margin %</t>
  </si>
  <si>
    <t xml:space="preserve">Income Statement </t>
  </si>
  <si>
    <t>Balance Sheet</t>
  </si>
  <si>
    <t xml:space="preserve">Check </t>
  </si>
  <si>
    <t>Net Working Capital</t>
  </si>
  <si>
    <t>Creditor Days</t>
  </si>
  <si>
    <t>Cash Flow Statement</t>
  </si>
  <si>
    <t>Cash Flow From Operations</t>
  </si>
  <si>
    <t>Cash Flow From Investing Activities</t>
  </si>
  <si>
    <t>Cash Flow From Finanacing Activities</t>
  </si>
  <si>
    <t xml:space="preserve">Net Change in Cash </t>
  </si>
  <si>
    <t xml:space="preserve">Opening Cash Balance </t>
  </si>
  <si>
    <t xml:space="preserve">Closing Cash Balance </t>
  </si>
  <si>
    <t>Change in Working Capital</t>
  </si>
  <si>
    <t>Change in Inventory</t>
  </si>
  <si>
    <t>Change in Other Current Assets</t>
  </si>
  <si>
    <t>Change in Total Current Assets ( Excluding Cash )</t>
  </si>
  <si>
    <t>Change in Net Working Capital</t>
  </si>
  <si>
    <t>Change in Total Current Liabilities</t>
  </si>
  <si>
    <t>Common Size Statement</t>
  </si>
  <si>
    <t>Liquidity Ratios</t>
  </si>
  <si>
    <t>Current Assets</t>
  </si>
  <si>
    <t>Current Liabilities</t>
  </si>
  <si>
    <t>Current Ratio</t>
  </si>
  <si>
    <t>Quick Ratio(Acid Test)</t>
  </si>
  <si>
    <t>Cash Conversion Days</t>
  </si>
  <si>
    <t>Leverage Ratios/Solvency Ratios</t>
  </si>
  <si>
    <t>Debt to Equity Ratio</t>
  </si>
  <si>
    <t>Total Debt</t>
  </si>
  <si>
    <t>Total Equity</t>
  </si>
  <si>
    <t>Debt to Asset Ratio</t>
  </si>
  <si>
    <t>Equity Ratio</t>
  </si>
  <si>
    <t>Profitability/Margins Ratios</t>
  </si>
  <si>
    <t>Gross Margin</t>
  </si>
  <si>
    <t>EBITDA</t>
  </si>
  <si>
    <t>EBITDA Margin</t>
  </si>
  <si>
    <t>EBIT</t>
  </si>
  <si>
    <t>EBIT Margin</t>
  </si>
  <si>
    <t>Net Profit</t>
  </si>
  <si>
    <t>Net Profit Margins</t>
  </si>
  <si>
    <t>Return on Assets</t>
  </si>
  <si>
    <t>Return on Equity</t>
  </si>
  <si>
    <t>Efficiency Ratios</t>
  </si>
  <si>
    <t>Total Asset</t>
  </si>
  <si>
    <t>Asset Turnover Ratio</t>
  </si>
  <si>
    <t>Inventory Turnover Ratio</t>
  </si>
  <si>
    <t>Change in Revenue</t>
  </si>
  <si>
    <t>Change in Total Asset</t>
  </si>
  <si>
    <t>Reinvestment Ratio</t>
  </si>
  <si>
    <t>Coverage Ratios</t>
  </si>
  <si>
    <t>Debt to EBITDA Coverage Ratio</t>
  </si>
  <si>
    <t>Interest Expense</t>
  </si>
  <si>
    <t>Interest Coverage Ratio</t>
  </si>
  <si>
    <t>DCF Model</t>
  </si>
  <si>
    <t>Free Cash Flow to Firm</t>
  </si>
  <si>
    <t>Less: Depreciation</t>
  </si>
  <si>
    <t>Less: Tax</t>
  </si>
  <si>
    <t>EBIT(1-T)</t>
  </si>
  <si>
    <t>Discount Period (Years)</t>
  </si>
  <si>
    <t>Mid Year Convention</t>
  </si>
  <si>
    <t>No</t>
  </si>
  <si>
    <t>Less:Reinvestments</t>
  </si>
  <si>
    <t>Yes</t>
  </si>
  <si>
    <t>Discount Rate(WACC)</t>
  </si>
  <si>
    <t>Present Value Factor</t>
  </si>
  <si>
    <t>Present Value of Free Cash Flow to Firm</t>
  </si>
  <si>
    <t>Weighted Average Cost of Capital</t>
  </si>
  <si>
    <t>Risk Free Rate</t>
  </si>
  <si>
    <t>Cost of Debt</t>
  </si>
  <si>
    <t>DCF Calculation -Perpetuity Growth</t>
  </si>
  <si>
    <t>Perpetual Growth Rate</t>
  </si>
  <si>
    <t>Terminal Year FCFF * (1+PGR)</t>
  </si>
  <si>
    <t>Terminal Value</t>
  </si>
  <si>
    <t>Present Value of Terminal Value</t>
  </si>
  <si>
    <t>Present Value of FCFFs</t>
  </si>
  <si>
    <t>Enterprise Value</t>
  </si>
  <si>
    <t>Implied Exit Multiple</t>
  </si>
  <si>
    <t>Implied EV/EBITDA</t>
  </si>
  <si>
    <t>Less: Debt</t>
  </si>
  <si>
    <t xml:space="preserve">Add: Cash </t>
  </si>
  <si>
    <t>Equity Value</t>
  </si>
  <si>
    <t>DCF Calculation -Exit Multiple</t>
  </si>
  <si>
    <t>Exit Multiple</t>
  </si>
  <si>
    <t>Terminal Year EBITDA</t>
  </si>
  <si>
    <t>Mid Year ?</t>
  </si>
  <si>
    <t>Contingent Liabilities</t>
  </si>
  <si>
    <t>Other Liabilities</t>
  </si>
  <si>
    <t>Interest Accrued But Not Due</t>
  </si>
  <si>
    <t>Advances received from customers</t>
  </si>
  <si>
    <t>Bank Overdraft / Short term credit</t>
  </si>
  <si>
    <t>Short Term Provisions</t>
  </si>
  <si>
    <t>Trade Payables</t>
  </si>
  <si>
    <t>Long Term Provisions</t>
  </si>
  <si>
    <t>Other Long Term Liabilities</t>
  </si>
  <si>
    <t>Short-Term Borrowings</t>
  </si>
  <si>
    <t>Long-Term Borrowings</t>
  </si>
  <si>
    <t>Borrowings and Loans</t>
  </si>
  <si>
    <t>Share Capital</t>
  </si>
  <si>
    <t>EQUITY AND LIABILITIES</t>
  </si>
  <si>
    <t>Sale of Fixed Asset</t>
  </si>
  <si>
    <t>Purchase of Fixed Asset</t>
  </si>
  <si>
    <t>Capex</t>
  </si>
  <si>
    <t>Inventories</t>
  </si>
  <si>
    <t>Other Non-current Asset</t>
  </si>
  <si>
    <t>Long Term Loans &amp; Advances</t>
  </si>
  <si>
    <t>Long Term Investment</t>
  </si>
  <si>
    <t>Other Non-current Assets</t>
  </si>
  <si>
    <t>Capital Work in Progress</t>
  </si>
  <si>
    <t>Net Block</t>
  </si>
  <si>
    <t>Tangible and Intangible Assets</t>
  </si>
  <si>
    <t>BalanceSheet</t>
  </si>
  <si>
    <t>Basic EPS</t>
  </si>
  <si>
    <t>Diluted EPS</t>
  </si>
  <si>
    <t>PAT Margin %</t>
  </si>
  <si>
    <t>Attributable to Parent</t>
  </si>
  <si>
    <t>Other consolidated items</t>
  </si>
  <si>
    <t>Extra items</t>
  </si>
  <si>
    <t>Minority Interest</t>
  </si>
  <si>
    <t>Share of Associate</t>
  </si>
  <si>
    <t>Profit after tax</t>
  </si>
  <si>
    <t>Effective Tax Rate (%)</t>
  </si>
  <si>
    <t>Profit Before Tax</t>
  </si>
  <si>
    <t>Add: Other Income</t>
  </si>
  <si>
    <t>Less: Finance Cost</t>
  </si>
  <si>
    <t>EBIT Margin (%)</t>
  </si>
  <si>
    <t>EBITDA Margin (%)</t>
  </si>
  <si>
    <t>Less: Total SG&amp;A Expense (Excluding Depre &amp; Ammortization)</t>
  </si>
  <si>
    <t>Other Expenses</t>
  </si>
  <si>
    <t>Misc. Cost</t>
  </si>
  <si>
    <t>Selling and Distribution Cost</t>
  </si>
  <si>
    <t>General and Administration Cost</t>
  </si>
  <si>
    <t>Power &amp; Fuel Cost</t>
  </si>
  <si>
    <t>Employee Cost</t>
  </si>
  <si>
    <t>SG&amp;A Expense</t>
  </si>
  <si>
    <t>GP Margin</t>
  </si>
  <si>
    <t>Other raw material cost</t>
  </si>
  <si>
    <t>Direct Purchases/Brought in cost</t>
  </si>
  <si>
    <t>Changes in Inventories of Finished Goods, WIP and Stock in Trade</t>
  </si>
  <si>
    <t>Closing Raw Materials</t>
  </si>
  <si>
    <t>Purchases Raw Materials</t>
  </si>
  <si>
    <t>Opening Raw Materials</t>
  </si>
  <si>
    <t>COGS -</t>
  </si>
  <si>
    <t>Net Cash Flow</t>
  </si>
  <si>
    <t>Particulars</t>
  </si>
  <si>
    <t>Revenue Growth</t>
  </si>
  <si>
    <t>Company Historical Growth</t>
  </si>
  <si>
    <t>Revenue From Operations</t>
  </si>
  <si>
    <t>CAGR Growth</t>
  </si>
  <si>
    <t>7 Years</t>
  </si>
  <si>
    <t>Sales Growth</t>
  </si>
  <si>
    <t>Author</t>
  </si>
  <si>
    <t>Date</t>
  </si>
  <si>
    <t xml:space="preserve"> Growth Rate</t>
  </si>
  <si>
    <t>ICICI</t>
  </si>
  <si>
    <t>Median Growth Rate</t>
  </si>
  <si>
    <t>Geojit BNP Paribas</t>
  </si>
  <si>
    <t>BP Wealth</t>
  </si>
  <si>
    <t>Emkay</t>
  </si>
  <si>
    <t>Prabhudas Lilladhar</t>
  </si>
  <si>
    <t>Axis Securities</t>
  </si>
  <si>
    <t>Simplywall.st</t>
  </si>
  <si>
    <t>-</t>
  </si>
  <si>
    <t>Motilal Oswal</t>
  </si>
  <si>
    <t>HSIE</t>
  </si>
  <si>
    <t>Kotak</t>
  </si>
  <si>
    <t xml:space="preserve">Source - Trendlyne.com </t>
  </si>
  <si>
    <t>Consensus Estimate - Eicher</t>
  </si>
  <si>
    <t>a CAGR (growth rate) is expected to be around 3.50% during the forecast period (2025 - 2034).</t>
  </si>
  <si>
    <t>https://www.marketresearchfuture.com/reports/india-two-wheeler-market-21400</t>
  </si>
  <si>
    <t>Source:</t>
  </si>
  <si>
    <t>Rising urbanization and increasing demand for affordable and fuel-efficient transportation are the main market drivers anticipated to propel the Two Wheeler market in India.</t>
  </si>
  <si>
    <t>Growth Driver</t>
  </si>
  <si>
    <t>Market Research Future</t>
  </si>
  <si>
    <t>It is expected to show an annual growth rate of 3.18% (CAGR 2025-2030), resulting in a projected market volume of US$43.01bn by 2030.</t>
  </si>
  <si>
    <t>Statistica</t>
  </si>
  <si>
    <t>https://www.statista.com/outlook/mmo/motorcycles/india</t>
  </si>
  <si>
    <t>India's motorcycle market is experiencing a surge in demand for electric two-wheelers as consumers prioritize sustainability and cost-efficiency.</t>
  </si>
  <si>
    <t>The largest segment in this market is On-road Motorcycles, which is projected to have a market volume of US$24.46bn in 2025.</t>
  </si>
  <si>
    <t>https://www.ibef.org/industry/india-automobiles</t>
  </si>
  <si>
    <t>IBEF</t>
  </si>
  <si>
    <t>Market Size in 2024</t>
  </si>
  <si>
    <t>299.2 billion USD (Value terms)</t>
  </si>
  <si>
    <t>335.1 billion USD (Value terms)</t>
  </si>
  <si>
    <t>CAGR ( 2017-2023)</t>
  </si>
  <si>
    <t>CAGR ( 2024-2030)</t>
  </si>
  <si>
    <t>https://www.angelone.in/news/overview-indian-two-wheeler-automobile-manufacturing-industry</t>
  </si>
  <si>
    <t>Market Size in E 2030</t>
  </si>
  <si>
    <t>Market Growth Rate (2025-2033)</t>
  </si>
  <si>
    <t>Angelone</t>
  </si>
  <si>
    <t>https://www.imarcgroup.com/india-two-wheeler-market</t>
  </si>
  <si>
    <r>
      <t>the India Two-Wheeler Market is estimated to reach a valuation of </t>
    </r>
    <r>
      <rPr>
        <sz val="10"/>
        <color rgb="FF993300"/>
        <rFont val="Raleway Regular"/>
      </rPr>
      <t>USD 459.47 Billion over the forecast 2032,</t>
    </r>
    <r>
      <rPr>
        <sz val="10"/>
        <color rgb="FF2B3033"/>
        <rFont val="Raleway Regular"/>
      </rPr>
      <t> around USD 299.43 Billion valued in 2024.</t>
    </r>
  </si>
  <si>
    <t>https://www.verifiedmarketresearch.com/product/india-two-wheeler-market/</t>
  </si>
  <si>
    <t>Verified Market Research</t>
  </si>
  <si>
    <t>CAGR</t>
  </si>
  <si>
    <t>The volatility in raw material prices, particularly for steel, aluminum, and semiconductor components, has been leading to increased production costs.</t>
  </si>
  <si>
    <t>Hence - supply chain disruptions and rising input costs,</t>
  </si>
  <si>
    <t>According Verified Market Research, the growth of the India two-wheeler market in Maharashtra is being driven by increasing urbanization, rising disposable incomes, and strong demand for personal mobility solutions.</t>
  </si>
  <si>
    <t>Imarc Group</t>
  </si>
  <si>
    <t>Market Wide Research</t>
  </si>
  <si>
    <t>https://markwideresearch.com/press-release/india-two-wheeler-market-riding-towards-remarkable-growth-with-a-projected-cagr-of-8-7-from-2023-to-2030/</t>
  </si>
  <si>
    <t xml:space="preserve">CAGR of 8.4% till 2030 </t>
  </si>
  <si>
    <r>
      <t>TechSci Research</t>
    </r>
    <r>
      <rPr>
        <sz val="11"/>
        <color theme="1"/>
        <rFont val="Calibri"/>
        <family val="2"/>
      </rPr>
      <t xml:space="preserve"> forecasts a </t>
    </r>
    <r>
      <rPr>
        <b/>
        <sz val="11"/>
        <color theme="1"/>
        <rFont val="Calibri"/>
        <family val="2"/>
      </rPr>
      <t>CAGR of 10.5% from 2024‑2030</t>
    </r>
    <r>
      <rPr>
        <sz val="11"/>
        <color theme="1"/>
        <rFont val="Calibri"/>
        <family val="2"/>
      </rPr>
      <t>, with value expanding from US $18 bn (2024) to US $33.2 bn (2030)</t>
    </r>
  </si>
  <si>
    <t>driven by urbanization, cost &amp; fuel efficiency, and rising incomes</t>
  </si>
  <si>
    <t>https://www.techsciresearch.com/news/7765-india-two-wheeler-market</t>
  </si>
  <si>
    <r>
      <t>Research and Markets</t>
    </r>
    <r>
      <rPr>
        <sz val="11"/>
        <color theme="1"/>
        <rFont val="Calibri"/>
        <family val="2"/>
      </rPr>
      <t xml:space="preserve"> supports a similar outlook: </t>
    </r>
    <r>
      <rPr>
        <b/>
        <sz val="11"/>
        <color theme="1"/>
        <rFont val="Calibri"/>
        <family val="2"/>
      </rPr>
      <t>~10.3% CAGR through 2029</t>
    </r>
    <r>
      <rPr>
        <sz val="11"/>
        <color theme="1"/>
        <rFont val="Calibri"/>
        <family val="2"/>
      </rPr>
      <t>, raising the market’s value from $16.6 bn (2023) to $29.7 bn (2029)</t>
    </r>
  </si>
  <si>
    <t>https://rss.globenewswire.com/news-release/2024/03/26/2852640/28124/en/India-Two-Wheeler-Market-2023-2029-A-16-63-Billion-Market-Opportunity-Vehicle-Type-Propulsion-Type-and-Granular-Region-Wise-Analysis.</t>
  </si>
  <si>
    <r>
      <t>Mordor Intelligence</t>
    </r>
    <r>
      <rPr>
        <sz val="11"/>
        <color theme="1"/>
        <rFont val="Calibri"/>
        <family val="2"/>
      </rPr>
      <t xml:space="preserve"> suggests slightly slower growth: a </t>
    </r>
    <r>
      <rPr>
        <b/>
        <sz val="11"/>
        <color theme="1"/>
        <rFont val="Calibri"/>
        <family val="2"/>
      </rPr>
      <t>CAGR of ~2.4% from 2025‑2029</t>
    </r>
    <r>
      <rPr>
        <sz val="11"/>
        <color theme="1"/>
        <rFont val="Calibri"/>
        <family val="2"/>
      </rPr>
      <t>, with value rising from $315.9 bn to $347.4 bn (USD)—though they define the market differently in a higher base</t>
    </r>
  </si>
  <si>
    <t>https://www.mordorintelligence.com/industry-reports/india-two-wheeler-market</t>
  </si>
  <si>
    <t>Tech sci research</t>
  </si>
  <si>
    <t>Globe news wire</t>
  </si>
  <si>
    <t xml:space="preserve">Mordor Intelligence </t>
  </si>
  <si>
    <r>
      <t xml:space="preserve">According to FADA data, FY25 (Apr '24–Mar '25) saw a </t>
    </r>
    <r>
      <rPr>
        <b/>
        <sz val="11"/>
        <color theme="1"/>
        <rFont val="Calibri"/>
        <family val="2"/>
      </rPr>
      <t>7.7% unit volume growth</t>
    </r>
    <r>
      <rPr>
        <sz val="11"/>
        <color theme="1"/>
        <rFont val="Calibri"/>
        <family val="2"/>
      </rPr>
      <t xml:space="preserve">, with </t>
    </r>
    <r>
      <rPr>
        <b/>
        <sz val="11"/>
        <color theme="1"/>
        <rFont val="Calibri"/>
        <family val="2"/>
      </rPr>
      <t>18.9 million units sold</t>
    </r>
    <r>
      <rPr>
        <sz val="11"/>
        <color theme="1"/>
        <rFont val="Calibri"/>
        <family val="2"/>
      </rPr>
      <t>—rural growth outpacing urban</t>
    </r>
  </si>
  <si>
    <r>
      <t xml:space="preserve">The electric two-wheeler market is booming, with an estimated </t>
    </r>
    <r>
      <rPr>
        <b/>
        <sz val="11"/>
        <color theme="1"/>
        <rFont val="Calibri"/>
        <family val="2"/>
      </rPr>
      <t>66.4% CAGR from 2024‑2030</t>
    </r>
    <r>
      <rPr>
        <sz val="11"/>
        <color theme="1"/>
        <rFont val="Calibri"/>
        <family val="2"/>
      </rPr>
      <t>, growing from $681 m to ~$14.5 bn</t>
    </r>
  </si>
  <si>
    <t>https://www.psmarketresearch.com/market-analysis/india-electric-scooter-and-motorcycle-market</t>
  </si>
  <si>
    <t>PS market Research</t>
  </si>
  <si>
    <t xml:space="preserve">Crisil projects a 25% volume increase in e-scooters by March 2026—though lower subsidies may delay profitability </t>
  </si>
  <si>
    <t>https://www.ft.com/content/d69657ee-6cb6-43be-918a-a621f76e223d</t>
  </si>
  <si>
    <t>Financial Times</t>
  </si>
  <si>
    <t>https://markwideresearch.com/press-release/india-two-wheeler-market-riding-towards-remarkable-growth-with-a-projected-cagr-of-8-7-from-2023-to-2030</t>
  </si>
  <si>
    <t>EICHER - Research:</t>
  </si>
  <si>
    <t>https://simplywall.st/stocks/in/automobiles/nse-eichermot/eicher-motors-shares/news/eicher-motors-full-year-2025-earnings-beats-expectations</t>
  </si>
  <si>
    <t>Simplywall</t>
  </si>
  <si>
    <t>Looking ahead, revenue is forecast to grow 8.4% p.a. on average during the next 3 years, compared to a 7.5% growth forecast for the Auto industry in India.</t>
  </si>
  <si>
    <t>Nuvama forecasts a 9% revenue CAGR during FY24–27, driven by export growth and product refreshes</t>
  </si>
  <si>
    <t>Nuvama</t>
  </si>
  <si>
    <t>https://www.moneycontrol.com/news/business/markets/brokerages-optimistic-on-eicher-motors-strategic-shift-forecast-stronger-growth-12866825.html?utm_source=chatgpt.com</t>
  </si>
  <si>
    <t>Looking ahead, the market is expected to experience a compound annual rate of 1.54% from 2025 to 2030 - Trucks (VECV)</t>
  </si>
  <si>
    <t>https://www.mordorintelligence.com/industry-reports/india-commercial-vehicles-market</t>
  </si>
  <si>
    <t>Indian Commercial Vehicles CAGR = 5.36%</t>
  </si>
  <si>
    <t>https://cdn-media.screener.in/concalls/77fb479f-d1a5-4363-80e1-4372c970cf6e.pdf</t>
  </si>
  <si>
    <t>Concall May 2025</t>
  </si>
  <si>
    <t>High Rural Consumption</t>
  </si>
  <si>
    <t>Concall May 2025:</t>
  </si>
  <si>
    <t>According to the Federation of Automobile Dealers Associations, rural contribution to two-wheeler sales surged by 57-60 per cent in the April-June quarter of 2024-25, indicating a rising demand in these regions.</t>
  </si>
  <si>
    <t>https://www.business-standard.com/industry/auto/rural-demand-for-two-wheelers-reviving-in-the-first-half-of-2024-fada-124072100307_1.html</t>
  </si>
  <si>
    <t xml:space="preserve">“The formation of a new coalition government is expected to lead to increased focus on rural development. </t>
  </si>
  <si>
    <t>This could result in more government capital expenditure and schemes aimed at boosting rural incomes and disposable spending power.</t>
  </si>
  <si>
    <t xml:space="preserve"> Improved rural economic conditions would directly benefit demand for entry-level two-wheelers and scooters, which hold a major market share in rural India,” </t>
  </si>
  <si>
    <t>Business Standards</t>
  </si>
  <si>
    <t>Increasing Young population</t>
  </si>
  <si>
    <t>around 30 plus percentage of the consumers are below 25 years as of now overall aggregated level, but there is product level we have to see and another about 60%-65% will be about below 35 years of age.</t>
  </si>
  <si>
    <t>Over the period, we have added products which have actually brought the average age of Royal Enfield customers lower.</t>
  </si>
  <si>
    <t xml:space="preserve"> Hunter, when we launched, it actually brought in at about 24-26 years as the average age… </t>
  </si>
  <si>
    <t xml:space="preserve">That is where the growth is happening and our first time buyers have also increased almost close to 19%, all those young guys who are looking at. </t>
  </si>
  <si>
    <t>https://ourworldindata.org/grapher/population-by-age-group-with-projections</t>
  </si>
  <si>
    <t>Our World in Data</t>
  </si>
  <si>
    <t>Growing Urbanization</t>
  </si>
  <si>
    <t>https://www.researchgate.net/figure/Changing-share-of-Urban-and-Rural-populations-in-India-1950-to-2050_fig1_305911108</t>
  </si>
  <si>
    <r>
      <t>Urban population share</t>
    </r>
    <r>
      <rPr>
        <sz val="11"/>
        <color theme="1"/>
        <rFont val="Calibri"/>
        <family val="2"/>
      </rPr>
      <t xml:space="preserve"> climbed from </t>
    </r>
    <r>
      <rPr>
        <b/>
        <sz val="11"/>
        <color theme="1"/>
        <rFont val="Calibri"/>
        <family val="2"/>
      </rPr>
      <t>~18% in 1960</t>
    </r>
    <r>
      <rPr>
        <sz val="11"/>
        <color theme="1"/>
        <rFont val="Calibri"/>
        <family val="2"/>
      </rPr>
      <t xml:space="preserve"> to </t>
    </r>
    <r>
      <rPr>
        <b/>
        <sz val="11"/>
        <color theme="1"/>
        <rFont val="Calibri"/>
        <family val="2"/>
      </rPr>
      <t>34.9% by 2020</t>
    </r>
    <r>
      <rPr>
        <sz val="11"/>
        <color theme="1"/>
        <rFont val="Calibri"/>
        <family val="2"/>
      </rPr>
      <t xml:space="preserve">, reaching </t>
    </r>
    <r>
      <rPr>
        <b/>
        <sz val="11"/>
        <color theme="1"/>
        <rFont val="Calibri"/>
        <family val="2"/>
      </rPr>
      <t>36.4% in 2023</t>
    </r>
    <r>
      <rPr>
        <sz val="11"/>
        <color theme="1"/>
        <rFont val="Calibri"/>
        <family val="2"/>
      </rPr>
      <t xml:space="preserve"> and </t>
    </r>
    <r>
      <rPr>
        <b/>
        <sz val="11"/>
        <color theme="1"/>
        <rFont val="Calibri"/>
        <family val="2"/>
      </rPr>
      <t>36.9% in 2024</t>
    </r>
  </si>
  <si>
    <t>https://www.nudm.mohua.gov.in/why-nudm</t>
  </si>
  <si>
    <t>NUDM</t>
  </si>
  <si>
    <t>Conclusion: (Sales Growth)</t>
  </si>
  <si>
    <t>Increasing Rural Consumption</t>
  </si>
  <si>
    <r>
      <t xml:space="preserve">Good monsoons and rural income gains are seen as catalysts for both </t>
    </r>
    <r>
      <rPr>
        <b/>
        <sz val="11"/>
        <color theme="1"/>
        <rFont val="Calibri"/>
        <family val="2"/>
      </rPr>
      <t>CV demand (transport vehicles)</t>
    </r>
    <r>
      <rPr>
        <sz val="11"/>
        <color theme="1"/>
        <rFont val="Calibri"/>
        <family val="2"/>
      </rPr>
      <t xml:space="preserve"> and </t>
    </r>
    <r>
      <rPr>
        <b/>
        <sz val="11"/>
        <color theme="1"/>
        <rFont val="Calibri"/>
        <family val="2"/>
      </rPr>
      <t>premium bikes</t>
    </r>
    <r>
      <rPr>
        <sz val="11"/>
        <color theme="1"/>
        <rFont val="Calibri"/>
        <family val="2"/>
      </rPr>
      <t>, reflecting Eicher’s dual-segment strength</t>
    </r>
  </si>
  <si>
    <t>https://www.sharescart.com/article/equity-research-eicher-motors</t>
  </si>
  <si>
    <t>Sharescart</t>
  </si>
  <si>
    <t>https://www.reuters.com/world/india/indias-eicher-motors-beats-fourth-quarter-profit-view-2025-05-14</t>
  </si>
  <si>
    <r>
      <t xml:space="preserve">In </t>
    </r>
    <r>
      <rPr>
        <b/>
        <sz val="11"/>
        <color theme="1"/>
        <rFont val="Calibri"/>
        <family val="2"/>
      </rPr>
      <t>Q4 FY25</t>
    </r>
    <r>
      <rPr>
        <sz val="11"/>
        <color theme="1"/>
        <rFont val="Calibri"/>
        <family val="2"/>
      </rPr>
      <t xml:space="preserve">, Royal Enfield beat profit estimates due to </t>
    </r>
    <r>
      <rPr>
        <b/>
        <sz val="11"/>
        <color theme="1"/>
        <rFont val="Calibri"/>
        <family val="2"/>
      </rPr>
      <t>robust demand for higher-capacity models</t>
    </r>
    <r>
      <rPr>
        <sz val="11"/>
        <color theme="1"/>
        <rFont val="Calibri"/>
        <family val="2"/>
      </rPr>
      <t>—a trend linked to rising rural consumer power</t>
    </r>
  </si>
  <si>
    <t>Reuters</t>
  </si>
  <si>
    <t>Increasing Disposable Income</t>
  </si>
  <si>
    <t>https://sanasecurities.com/eicher-motors-stock-analysis/</t>
  </si>
  <si>
    <t>Sana Securities</t>
  </si>
  <si>
    <t>https://www.archivemarketresearch.com/news/article/rising-disposable-income-impact-on-spending-economic-growth-18878</t>
  </si>
  <si>
    <t>Archive Market Research</t>
  </si>
  <si>
    <t xml:space="preserve">Rising disposable income is a powerful driver of consumer spending and economic growth. </t>
  </si>
  <si>
    <t>As disposable income continues to increase, it's essential for individuals, businesses, and governments to understand its impact and adopt strategies to maximize its benefits.</t>
  </si>
  <si>
    <t>Increasing Consumer Spending</t>
  </si>
  <si>
    <t>https://www.macrotrends.net/global-metrics/countries/ind/india/consumer-spending</t>
  </si>
  <si>
    <t>Macro Trends</t>
  </si>
  <si>
    <t>Brand Loyalty &amp; Heritage</t>
  </si>
  <si>
    <r>
      <t>High capital investment</t>
    </r>
    <r>
      <rPr>
        <sz val="11"/>
        <color theme="1"/>
        <rFont val="Calibri"/>
        <family val="2"/>
      </rPr>
      <t xml:space="preserve"> in manufacturing, distribution, and R&amp;D.</t>
    </r>
  </si>
  <si>
    <r>
      <t>Strong brand loyalty</t>
    </r>
    <r>
      <rPr>
        <sz val="11"/>
        <color theme="1"/>
        <rFont val="Calibri"/>
        <family val="2"/>
      </rPr>
      <t xml:space="preserve"> and heritage of Royal Enfield (since 1901) create high entry barriers.</t>
    </r>
  </si>
  <si>
    <t>Regulatory compliance (BS-VI norms, safety, emissions) raises cost of entry.</t>
  </si>
  <si>
    <t>Threat of New Entrants is Low - Porter's 5 Forces</t>
  </si>
  <si>
    <t>https://auto.hindustantimes.com/new-bikes/royalenfield/classic-350/user-reviews/comfort-redefined-6772d8999f16803bfb261a3b</t>
  </si>
  <si>
    <t>Auto Hindustan Times</t>
  </si>
  <si>
    <t>Reviews:</t>
  </si>
  <si>
    <t>“Most comfortable bike I ride till date… minimum back discomfort if going for a long solo ride… it feels like premium”</t>
  </si>
  <si>
    <t>https://dcfmodeling.com/products/eichermotns-porters-five-forces-analysis</t>
  </si>
  <si>
    <t>Product Innovation</t>
  </si>
  <si>
    <r>
      <t>FY25 launches</t>
    </r>
    <r>
      <rPr>
        <sz val="11"/>
        <color theme="1"/>
        <rFont val="Calibri"/>
        <family val="2"/>
      </rPr>
      <t xml:space="preserve">: Six new motorcycles—including Guerrilla 450, Bear 650, Classic 650, Goan Classic 350, an upgraded Classic 350, and Scram 440—helped Royal Enfield reach a record </t>
    </r>
    <r>
      <rPr>
        <b/>
        <sz val="11"/>
        <color theme="1"/>
        <rFont val="Calibri"/>
        <family val="2"/>
      </rPr>
      <t>1 million+ annual sales</t>
    </r>
  </si>
  <si>
    <t>https://motoring-trends.com/cover-story/shifting-world-order-for-the-auto-industry</t>
  </si>
  <si>
    <r>
      <t>Electric Himalayan concept</t>
    </r>
    <r>
      <rPr>
        <sz val="11"/>
        <color theme="1"/>
        <rFont val="Calibri"/>
        <family val="2"/>
      </rPr>
      <t xml:space="preserve"> unveiled at EICMA 2023 and the upcoming </t>
    </r>
    <r>
      <rPr>
        <b/>
        <sz val="11"/>
        <color theme="1"/>
        <rFont val="Calibri"/>
        <family val="2"/>
      </rPr>
      <t>Flying Flea city EV brand</t>
    </r>
    <r>
      <rPr>
        <sz val="11"/>
        <color theme="1"/>
        <rFont val="Calibri"/>
        <family val="2"/>
      </rPr>
      <t xml:space="preserve"> targeted for Q4 FY26</t>
    </r>
  </si>
  <si>
    <t>https://www.marketscreener.com/quote/stock/EICHER-MOTORS-LIMITED-6493334/news/Eicher-Motors-Press-Release-May-11-2024-46703178</t>
  </si>
  <si>
    <t>Real traction likely picks up in FY 2027 as Flying Flea gains familiarity and acceptance.</t>
  </si>
  <si>
    <t>Revenue Growth %</t>
  </si>
  <si>
    <t>Revenue yoy % growth</t>
  </si>
  <si>
    <t>Revenue Schedule</t>
  </si>
  <si>
    <t>COGS % Sales</t>
  </si>
  <si>
    <t>Net Raw Materials</t>
  </si>
  <si>
    <t>Raw Materials % Sales</t>
  </si>
  <si>
    <t>Change in Inventory % Sales</t>
  </si>
  <si>
    <t>Other Raw Materials % Sales</t>
  </si>
  <si>
    <t>Gross Margins</t>
  </si>
  <si>
    <t xml:space="preserve">Median </t>
  </si>
  <si>
    <t>Average</t>
  </si>
  <si>
    <t xml:space="preserve">Gross Margin % </t>
  </si>
  <si>
    <t>Min</t>
  </si>
  <si>
    <t>Max</t>
  </si>
  <si>
    <t>Raw Materials % COGS</t>
  </si>
  <si>
    <t>Base Case</t>
  </si>
  <si>
    <t>https://www.eicher.in/content/dam/eicher-motors/investor/corporate-governance/business-responsibility-report/Business-Responsibility-and-Sustainability-Report_2022-2023.pdf?</t>
  </si>
  <si>
    <t>ESG</t>
  </si>
  <si>
    <t>Material Group</t>
  </si>
  <si>
    <t>Waste Contribution (Non‑Hazardous)</t>
  </si>
  <si>
    <t>Notes</t>
  </si>
  <si>
    <r>
      <t>~</t>
    </r>
    <r>
      <rPr>
        <b/>
        <sz val="11"/>
        <color theme="1"/>
        <rFont val="Calibri"/>
        <family val="2"/>
      </rPr>
      <t>69%</t>
    </r>
    <r>
      <rPr>
        <sz val="11"/>
        <color theme="1"/>
        <rFont val="Calibri"/>
        <family val="2"/>
      </rPr>
      <t xml:space="preserve"> (4,534 t of 6,546 t)</t>
    </r>
  </si>
  <si>
    <t>Largest share</t>
  </si>
  <si>
    <t>Plastics, rubber, wood, packaging</t>
  </si>
  <si>
    <r>
      <t>~</t>
    </r>
    <r>
      <rPr>
        <b/>
        <sz val="11"/>
        <color theme="1"/>
        <rFont val="Calibri"/>
        <family val="2"/>
      </rPr>
      <t>31%</t>
    </r>
  </si>
  <si>
    <t>Combined</t>
  </si>
  <si>
    <t>Hazardous materials (paint, oils, solvents)</t>
  </si>
  <si>
    <t>1,521 t separate</t>
  </si>
  <si>
    <t>Process-related, not in core waste</t>
  </si>
  <si>
    <t>In FY 2023–24, ~71% of direct materials came from suppliers within 500 km—promoting local procurement and reducing emissions</t>
  </si>
  <si>
    <t>Annual report 23-24</t>
  </si>
  <si>
    <t>https://www.bseindia.com/xml-data/corpfiling/AttachHis/717238ca-0a65-4a34-9441-893ddeea9f2f.pdf</t>
  </si>
  <si>
    <r>
      <t xml:space="preserve">Its approach blends </t>
    </r>
    <r>
      <rPr>
        <b/>
        <sz val="11"/>
        <color theme="1"/>
        <rFont val="Calibri"/>
        <family val="2"/>
      </rPr>
      <t>local sourcing</t>
    </r>
    <r>
      <rPr>
        <sz val="11"/>
        <color theme="1"/>
        <rFont val="Calibri"/>
        <family val="2"/>
      </rPr>
      <t xml:space="preserve">, </t>
    </r>
    <r>
      <rPr>
        <b/>
        <sz val="11"/>
        <color theme="1"/>
        <rFont val="Calibri"/>
        <family val="2"/>
      </rPr>
      <t>multi-supplier resilience</t>
    </r>
    <r>
      <rPr>
        <sz val="11"/>
        <color theme="1"/>
        <rFont val="Calibri"/>
        <family val="2"/>
      </rPr>
      <t xml:space="preserve">, and </t>
    </r>
    <r>
      <rPr>
        <b/>
        <sz val="11"/>
        <color theme="1"/>
        <rFont val="Calibri"/>
        <family val="2"/>
      </rPr>
      <t>strong supplier relationships</t>
    </r>
    <r>
      <rPr>
        <sz val="11"/>
        <color theme="1"/>
        <rFont val="Calibri"/>
        <family val="2"/>
      </rPr>
      <t xml:space="preserve"> to ensure efficiency, compatibility, and cost-effectiveness.</t>
    </r>
  </si>
  <si>
    <t>For conclusion:</t>
  </si>
  <si>
    <t>steel + aluminium scrap</t>
  </si>
  <si>
    <t>Auto &amp; Truck</t>
  </si>
  <si>
    <t>Prof. Damodaran</t>
  </si>
  <si>
    <t>https://pages.stern.nyu.edu/~adamodar/</t>
  </si>
  <si>
    <t xml:space="preserve">India </t>
  </si>
  <si>
    <t>Emerging</t>
  </si>
  <si>
    <t>Global</t>
  </si>
  <si>
    <t xml:space="preserve">Auto &amp; Truck </t>
  </si>
  <si>
    <t>Gross margin</t>
  </si>
  <si>
    <t>Sector</t>
  </si>
  <si>
    <t>Annual Report 2024</t>
  </si>
  <si>
    <t>Eicher - AR 24.pdf</t>
  </si>
  <si>
    <t>Company focuses on sustainable and local sourcing, with 71% of direct materials procured locally and 55% of purchase value assessed for ESG compliance per SEBI norms.</t>
  </si>
  <si>
    <t>For Conclusion:</t>
  </si>
  <si>
    <t>Supply chain risks include semiconductor shortages and rising commodity prices, which hurt profitability. Relying on single-source or country-specific suppliers increases concentration risk.</t>
  </si>
  <si>
    <t>Hence Concentration Risk</t>
  </si>
  <si>
    <t>Mitigating action Adequate measures taken to mitigate raw material shortage impact on supply chain and manufacturing output.</t>
  </si>
  <si>
    <t>Undertaken cost reduction programmes, accelerated value engineering and product price increases to offset input price rise</t>
  </si>
  <si>
    <t xml:space="preserve">Focus on alternate vendor sourcing, inventory build-up and optimising variant-feature mix to ensure sustained raw materials and component availability. </t>
  </si>
  <si>
    <t>Therefore to reduce this, The company mitigates raw material shortages through alternate sourcing, inventory build-up, product adjustments, cost cuts, and price hikes.</t>
  </si>
  <si>
    <t>High raw material costs and low selling prices of associated with EV business in India can impact the consolidated business profitability.</t>
  </si>
  <si>
    <t>71% of direct raw materials and 73% of indirect materials including consumables, spares, tools are sourced sustainably from local suppliers and vendors in and around the areas of operations mostly based in Chennai</t>
  </si>
  <si>
    <t>Vidhya Srinivasan:</t>
  </si>
  <si>
    <t>https://www.bseindia.com/xml-data/corpfiling/AttachHis/aa8bc404-031b-4df6-8ebd-8c7b986a8ae1.pdf</t>
  </si>
  <si>
    <t>Concall Feb 2025</t>
  </si>
  <si>
    <t>https://www.bseindia.com/xml-data/corpfiling/AttachHis/05369193-1faf-47ec-8b4f-b39d8597ca41.pdf</t>
  </si>
  <si>
    <t>Others</t>
  </si>
  <si>
    <t>Steel+Aluminum</t>
  </si>
  <si>
    <r>
      <t xml:space="preserve">However, they </t>
    </r>
    <r>
      <rPr>
        <b/>
        <sz val="11"/>
        <color theme="1"/>
        <rFont val="Calibri"/>
        <family val="2"/>
      </rPr>
      <t>actively mitigate this</t>
    </r>
    <r>
      <rPr>
        <sz val="11"/>
        <color theme="1"/>
        <rFont val="Calibri"/>
        <family val="2"/>
      </rPr>
      <t xml:space="preserve"> through group procurement, engineering cost reduction, and use of recycled materials.</t>
    </r>
  </si>
  <si>
    <t>Conclusion - Gross Margin</t>
  </si>
  <si>
    <t>Consensus Estimate of:</t>
  </si>
  <si>
    <t>https://trendlyne.com/research-reports/stock/360/EICHERMOT/eicher-motors-ltd/</t>
  </si>
  <si>
    <t>ICICI Securities Limited</t>
  </si>
  <si>
    <t xml:space="preserve"> Motilal Oswal</t>
  </si>
  <si>
    <t xml:space="preserve"> Morgan Stanley</t>
  </si>
  <si>
    <t>Gross Margin yoy % growth</t>
  </si>
  <si>
    <t>SG&amp;A Growth %</t>
  </si>
  <si>
    <t>Rent , Rates &amp; Taxes</t>
  </si>
  <si>
    <t>Insurance</t>
  </si>
  <si>
    <t>Printing and stationery</t>
  </si>
  <si>
    <t>Professional and legal fees</t>
  </si>
  <si>
    <t>Travelling and conveyance</t>
  </si>
  <si>
    <t>Other Administration</t>
  </si>
  <si>
    <t>Historical SG&amp;A Analysis</t>
  </si>
  <si>
    <t>Common Sized:</t>
  </si>
  <si>
    <t>Median</t>
  </si>
  <si>
    <t>SG&amp;A % Revenue</t>
  </si>
  <si>
    <t>Employee Cost % Revenue</t>
  </si>
  <si>
    <t>Selling &amp; Distribution Cost % Revenue</t>
  </si>
  <si>
    <t>Other Expenses % Revenue</t>
  </si>
  <si>
    <t>Other Misc. costs % Revenue</t>
  </si>
  <si>
    <t>Other Misc. Costs % Revenue</t>
  </si>
  <si>
    <t>Selling &amp; Distribution Cost</t>
  </si>
  <si>
    <t>Other Misc. Costs</t>
  </si>
  <si>
    <t>Total SG&amp;A Expenses</t>
  </si>
  <si>
    <t>Gross Block</t>
  </si>
  <si>
    <t>Less: Accumulated Depreciation</t>
  </si>
  <si>
    <t>: Quoted</t>
  </si>
  <si>
    <t>: Unquoted</t>
  </si>
  <si>
    <t>Investments</t>
  </si>
  <si>
    <t>Trade Receivables</t>
  </si>
  <si>
    <t>Debtors: more than six months</t>
  </si>
  <si>
    <t>Debtors: others</t>
  </si>
  <si>
    <t>Less: Provision for Doubtful Debts</t>
  </si>
  <si>
    <t>Cash and Cash Equivalents</t>
  </si>
  <si>
    <t>Cash in hand</t>
  </si>
  <si>
    <t>Balances at bank</t>
  </si>
  <si>
    <t>Other Cash and Bank Balances</t>
  </si>
  <si>
    <t>Loans</t>
  </si>
  <si>
    <t>Advances recoverable in cash or in kind</t>
  </si>
  <si>
    <t>Other Loans and Advances</t>
  </si>
  <si>
    <t>Interest accrued on Investments</t>
  </si>
  <si>
    <t>Other Current Asset</t>
  </si>
  <si>
    <t>Deferred Tax Assets</t>
  </si>
  <si>
    <t>Deferred Tax Liability</t>
  </si>
  <si>
    <t>Provision for Tax</t>
  </si>
  <si>
    <t>Other Provisions</t>
  </si>
  <si>
    <t>TOTAL ASSETS</t>
  </si>
  <si>
    <t>Current Assets % Total Assets</t>
  </si>
  <si>
    <t>Common Sized</t>
  </si>
  <si>
    <t>Historical Analysis</t>
  </si>
  <si>
    <t>Inventory Growth %</t>
  </si>
  <si>
    <t>Conclusion - SG&amp;A Exp</t>
  </si>
  <si>
    <t>Average Inventory</t>
  </si>
  <si>
    <t>Peers Inventory Days Analysis</t>
  </si>
  <si>
    <t>Inventory Turnover Ratio (COGS)</t>
  </si>
  <si>
    <t>Inventory Days (COGS)</t>
  </si>
  <si>
    <t>Inventory Turnover Ratio (Sales)</t>
  </si>
  <si>
    <t>Inventory Days (Sales)</t>
  </si>
  <si>
    <t>Eicher</t>
  </si>
  <si>
    <t>Peer 1 - TVS Motors</t>
  </si>
  <si>
    <t>Peer 2 - Hero Motocorp</t>
  </si>
  <si>
    <t>Peer 3 - Bajaj Auto</t>
  </si>
  <si>
    <t>Average Inventory % Revenue</t>
  </si>
  <si>
    <t>Consensus Estimate</t>
  </si>
  <si>
    <t>ICICI Securities</t>
  </si>
  <si>
    <t>Issuing Co.</t>
  </si>
  <si>
    <t>Consensus Estimate is considered almost flat from the current levels.</t>
  </si>
  <si>
    <t>Trade Receivables % Growth</t>
  </si>
  <si>
    <t>Average Trade Receivables</t>
  </si>
  <si>
    <t>Average Trade Receivables % Sales</t>
  </si>
  <si>
    <t>Receivable Turnover Ratio</t>
  </si>
  <si>
    <t>Conclusion - Inventory</t>
  </si>
  <si>
    <r>
      <t xml:space="preserve">— </t>
    </r>
    <r>
      <rPr>
        <b/>
        <sz val="11"/>
        <color theme="1"/>
        <rFont val="Calibri"/>
        <family val="2"/>
      </rPr>
      <t>CEO, B. Govindarajan</t>
    </r>
  </si>
  <si>
    <t>As we head into the festive season, we have built adequate inventory both at the plant and dealership level to cater to expected demand.</t>
  </si>
  <si>
    <t xml:space="preserve">Concall Nov 2023 </t>
  </si>
  <si>
    <t xml:space="preserve"> Diwali, Dussehra, and regional festivals.</t>
  </si>
  <si>
    <t>Royal Enfield often launches or promotes new variants (e.g. Classic, Bullet upgrades) around festivals.</t>
  </si>
  <si>
    <t xml:space="preserve">Source </t>
  </si>
  <si>
    <t xml:space="preserve">Trade Receivables % </t>
  </si>
  <si>
    <t>Trade Receivable Ageing</t>
  </si>
  <si>
    <t>Credit Risk</t>
  </si>
  <si>
    <t>Trade Receivables Days</t>
  </si>
  <si>
    <t>Other current Assets</t>
  </si>
  <si>
    <t>Other current Assets % Revenue</t>
  </si>
  <si>
    <t>Short Term Investments</t>
  </si>
  <si>
    <t>Short Term Investments % Sales</t>
  </si>
  <si>
    <t>Other Current Assets as 1% of Sales is assumed to be 1% throughout the forecasting period</t>
  </si>
  <si>
    <t>Fixed Assets</t>
  </si>
  <si>
    <t>Net Fixed Assets</t>
  </si>
  <si>
    <t>Net Fixed Assets % Total Assets</t>
  </si>
  <si>
    <t>Total Revenue</t>
  </si>
  <si>
    <t>Net Fixed Assets % Total Revenue</t>
  </si>
  <si>
    <t>Land</t>
  </si>
  <si>
    <t>Building</t>
  </si>
  <si>
    <t>Plant Machinery</t>
  </si>
  <si>
    <t>Equipments</t>
  </si>
  <si>
    <t>Furniture n fittings</t>
  </si>
  <si>
    <t>Vehicles</t>
  </si>
  <si>
    <t>Intangible Assets</t>
  </si>
  <si>
    <t>Other fixed assets</t>
  </si>
  <si>
    <t>Common Sized FA</t>
  </si>
  <si>
    <t>Breakup of Fixed Assets</t>
  </si>
  <si>
    <t>Exclude Land from Gross Assets if significant</t>
  </si>
  <si>
    <t>Fixed Assets - Gross Block</t>
  </si>
  <si>
    <t>Change in Gross Block</t>
  </si>
  <si>
    <t>Reinventment Rate</t>
  </si>
  <si>
    <t>(Change in Gross Block/Change in Revenue)</t>
  </si>
  <si>
    <t>Depre &amp; Ammortization</t>
  </si>
  <si>
    <t>Maintainance Capex</t>
  </si>
  <si>
    <t>Growth Capex</t>
  </si>
  <si>
    <t>Growth in Gross Block YoY%</t>
  </si>
  <si>
    <t>Management Guidance</t>
  </si>
  <si>
    <t>1.5 Lac Units per Year - Flying Flea</t>
  </si>
  <si>
    <t>1000 Cr for whole year announced, and on track</t>
  </si>
  <si>
    <t xml:space="preserve">1200 - 1300 Cr. For next year. </t>
  </si>
  <si>
    <t>Largely Towards EV manufacturing facility, product development, and new things</t>
  </si>
  <si>
    <t>Other Non current Assets</t>
  </si>
  <si>
    <t>Other non current Assets</t>
  </si>
  <si>
    <t>Other non currect asssets % Sales</t>
  </si>
  <si>
    <t>Other Non Current Assets % Revenue</t>
  </si>
  <si>
    <t>Other Non Current Assets</t>
  </si>
  <si>
    <t>Other Non Current Asset</t>
  </si>
  <si>
    <t>Long term Investments % Revenue</t>
  </si>
  <si>
    <t>Long Term Investments</t>
  </si>
  <si>
    <t>Long Term Investments % Revenue</t>
  </si>
  <si>
    <t>Long term Loans &amp; Advances</t>
  </si>
  <si>
    <t>Long term Loans &amp; Advances % Revenue</t>
  </si>
  <si>
    <t>Forecast</t>
  </si>
  <si>
    <t>Capital WIP</t>
  </si>
  <si>
    <t>CWIP</t>
  </si>
  <si>
    <t>CWIP % Fixed Assets</t>
  </si>
  <si>
    <t>Median CWIP % FA - Moderate Capex</t>
  </si>
  <si>
    <t>Median CWIP % FA - High Capex</t>
  </si>
  <si>
    <t>There is no management guidance on CWIP</t>
  </si>
  <si>
    <t>Axis Direct</t>
  </si>
  <si>
    <t>Conclusion - CWIP</t>
  </si>
  <si>
    <t>Depreciation for the Year</t>
  </si>
  <si>
    <t>Average Life of Assets</t>
  </si>
  <si>
    <t>Average Age of Assets</t>
  </si>
  <si>
    <t>% of Asset Depreciated</t>
  </si>
  <si>
    <t>Depreciation % Net Fixed Assets</t>
  </si>
  <si>
    <t>Depreciation % Gross Block</t>
  </si>
  <si>
    <t>Depreciation % Revenue</t>
  </si>
  <si>
    <t xml:space="preserve">Net Fixed Assets - Beginning of the year </t>
  </si>
  <si>
    <t>Add: Capex During the Year</t>
  </si>
  <si>
    <t>Depreciation % Sales</t>
  </si>
  <si>
    <t>Depreciation % Fixed Assets</t>
  </si>
  <si>
    <t>Depre % Gross Block</t>
  </si>
  <si>
    <t>Net Fixed Assets % Revenue</t>
  </si>
  <si>
    <t xml:space="preserve">Sales </t>
  </si>
  <si>
    <t>Capex % Sales Growth</t>
  </si>
  <si>
    <t>Median Removing outlyers</t>
  </si>
  <si>
    <t>Sales growth Forecast</t>
  </si>
  <si>
    <t>Capex Forecast</t>
  </si>
  <si>
    <t xml:space="preserve">Net Fixed Assets - Ending of the Year </t>
  </si>
  <si>
    <t>Capex during the year</t>
  </si>
  <si>
    <t xml:space="preserve">Less: Interest Expense </t>
  </si>
  <si>
    <t>Other Income</t>
  </si>
  <si>
    <t>Other Income % Revenue</t>
  </si>
  <si>
    <t>Other Income % Sales</t>
  </si>
  <si>
    <t>Cash &amp; Cash Equivalent</t>
  </si>
  <si>
    <t>Short Term Loans</t>
  </si>
  <si>
    <t>Short Term Loans % Revenue</t>
  </si>
  <si>
    <t>Short Term Loans % Sales</t>
  </si>
  <si>
    <t>For Last 5 years</t>
  </si>
  <si>
    <t>Short Term Loans &amp; Advances</t>
  </si>
  <si>
    <t>Total Non current Assets</t>
  </si>
  <si>
    <t>Reserves</t>
  </si>
  <si>
    <t>Trade payables</t>
  </si>
  <si>
    <t>Growth YoY %</t>
  </si>
  <si>
    <t>Trade Payables % COGS</t>
  </si>
  <si>
    <t>Trade Payable Days</t>
  </si>
  <si>
    <t>Trade Payable % Revenue</t>
  </si>
  <si>
    <t>Trade Receivable % Revenue</t>
  </si>
  <si>
    <t>Peers Trade Payable Days Analysis</t>
  </si>
  <si>
    <t>No management guidance given on Trade Payable</t>
  </si>
  <si>
    <t>Conclusion - Trade Payables</t>
  </si>
  <si>
    <t>We assume other current liabilities excluding short term borrowings to remain flat at 2024 levels. The short term borrowings is calculated seperately.</t>
  </si>
  <si>
    <t>Debt</t>
  </si>
  <si>
    <t>Total Borrowings</t>
  </si>
  <si>
    <t>YoY Growth %</t>
  </si>
  <si>
    <t>LT Borrowing % Total Borrowing</t>
  </si>
  <si>
    <t>ST Borrowing % Total Borrowing</t>
  </si>
  <si>
    <t>LT Borrowing % Revenue</t>
  </si>
  <si>
    <t>ST Borrowing % Revenue</t>
  </si>
  <si>
    <t>Deby/Equity</t>
  </si>
  <si>
    <t xml:space="preserve">Debt/ Capital </t>
  </si>
  <si>
    <t>Debt/Asset</t>
  </si>
  <si>
    <t>Debt/EBITDA</t>
  </si>
  <si>
    <t>Trade Payables Days</t>
  </si>
  <si>
    <t>Change in Trade Receivables</t>
  </si>
  <si>
    <t>Change in Trade Payables</t>
  </si>
  <si>
    <t>LT Loan % Sales</t>
  </si>
  <si>
    <t>Capex will be funded by reserves, No new debt will be taken</t>
  </si>
  <si>
    <t>ST Loan % Sales</t>
  </si>
  <si>
    <t>Long Term Loan % Sales</t>
  </si>
  <si>
    <t>Short Term Borrowings</t>
  </si>
  <si>
    <t>ST Borrowings % Revenue</t>
  </si>
  <si>
    <t>Long Term Borrowings</t>
  </si>
  <si>
    <t>LTB % TB</t>
  </si>
  <si>
    <t>STB % TB</t>
  </si>
  <si>
    <t>Interest Exp</t>
  </si>
  <si>
    <t>Int Exp % TB</t>
  </si>
  <si>
    <t>Conclusion - Interest Exp</t>
  </si>
  <si>
    <t>Interest Rate</t>
  </si>
  <si>
    <t>Average Total Borrowing</t>
  </si>
  <si>
    <t>Interest Rate % Total Borrowings</t>
  </si>
  <si>
    <t>Total Dividend</t>
  </si>
  <si>
    <t>Total Net profit</t>
  </si>
  <si>
    <t>Total Dividend %</t>
  </si>
  <si>
    <t xml:space="preserve">Total Dividend </t>
  </si>
  <si>
    <t>Dividend Payout Ratio</t>
  </si>
  <si>
    <t>Reserves Schedule</t>
  </si>
  <si>
    <t xml:space="preserve">Other Current Liabilities ( Excl Trade Payable &amp; ST Borrowings) </t>
  </si>
  <si>
    <t>Total OCL</t>
  </si>
  <si>
    <t>Total OCL/Total Assets</t>
  </si>
  <si>
    <t>Other Current Liabilities ( Excl Trade Payable &amp; ST Borrowings) % Total Assets</t>
  </si>
  <si>
    <t>YoY % Growth</t>
  </si>
  <si>
    <t>Reserves - Ending of Year</t>
  </si>
  <si>
    <t xml:space="preserve">CFO </t>
  </si>
  <si>
    <t>Cash Analysis</t>
  </si>
  <si>
    <t>Cash % Revenue</t>
  </si>
  <si>
    <t>Cash % TA</t>
  </si>
  <si>
    <t>Reserves - Beginning of Year</t>
  </si>
  <si>
    <t>Add: Depre</t>
  </si>
  <si>
    <t xml:space="preserve">Add/Less: Deffered Tax </t>
  </si>
  <si>
    <t>Add/Less: Working Capital Changes</t>
  </si>
  <si>
    <t>CFI</t>
  </si>
  <si>
    <t>Less: Capex</t>
  </si>
  <si>
    <t>Add/Less: Investment</t>
  </si>
  <si>
    <t>Interest Income</t>
  </si>
  <si>
    <t>Add/Less: CWIP</t>
  </si>
  <si>
    <t>CFF</t>
  </si>
  <si>
    <t>Borrowings</t>
  </si>
  <si>
    <t>Dividends Paid</t>
  </si>
  <si>
    <t>Interest Paid</t>
  </si>
  <si>
    <t>Other Financing Exp/Income</t>
  </si>
  <si>
    <t>Diff</t>
  </si>
  <si>
    <t>Please provide the below Inputs</t>
  </si>
  <si>
    <t>Name of the Company</t>
  </si>
  <si>
    <t>Eicher Motors Ltd.</t>
  </si>
  <si>
    <t xml:space="preserve"> Non Current Asset </t>
  </si>
  <si>
    <t xml:space="preserve"> Tax Rate </t>
  </si>
  <si>
    <t xml:space="preserve">Bank Rate </t>
  </si>
  <si>
    <t xml:space="preserve">Dividend Payout </t>
  </si>
  <si>
    <t xml:space="preserve">Revenue </t>
  </si>
  <si>
    <t xml:space="preserve">COGS </t>
  </si>
  <si>
    <t xml:space="preserve">Selling,General &amp; Administration (SG&amp;A) </t>
  </si>
  <si>
    <t>Assumptions:</t>
  </si>
  <si>
    <t>Operating Cash</t>
  </si>
  <si>
    <t>Operating Cash % Revenue</t>
  </si>
  <si>
    <t>Excess Cash</t>
  </si>
  <si>
    <t>WACC Inputs</t>
  </si>
  <si>
    <t>Country</t>
  </si>
  <si>
    <t>Local Currency 10 Y Government Bond Yield</t>
  </si>
  <si>
    <t>Credit Default Spread as per Prof. Damodaran</t>
  </si>
  <si>
    <t>Implied US Equity Risk Premium</t>
  </si>
  <si>
    <t>Asset Beta</t>
  </si>
  <si>
    <t>Asset Beta Variation (+/-)</t>
  </si>
  <si>
    <t>Debt to Capital (Gearing)</t>
  </si>
  <si>
    <t>Marginal Tax Rate</t>
  </si>
  <si>
    <t>Company Credit Rating Available?</t>
  </si>
  <si>
    <t>Provide Credit Rating</t>
  </si>
  <si>
    <t>Small Size Premium</t>
  </si>
  <si>
    <t>Asset Specific Risk Premium</t>
  </si>
  <si>
    <t>Africa</t>
  </si>
  <si>
    <t>Moody's rating</t>
  </si>
  <si>
    <t>Rating-based Default Spread</t>
  </si>
  <si>
    <t>Abu Dhabi</t>
  </si>
  <si>
    <t>Middle East</t>
  </si>
  <si>
    <t>Aa2</t>
  </si>
  <si>
    <t>Albania</t>
  </si>
  <si>
    <t>Eastern Europe &amp; Russia</t>
  </si>
  <si>
    <t>Ba3</t>
  </si>
  <si>
    <t>Andorra (Principality of)</t>
  </si>
  <si>
    <t>Western Europe</t>
  </si>
  <si>
    <t>Baa1</t>
  </si>
  <si>
    <t>Angola</t>
  </si>
  <si>
    <t>B3</t>
  </si>
  <si>
    <t>Argentina</t>
  </si>
  <si>
    <t>Central and South America</t>
  </si>
  <si>
    <t>Caa3</t>
  </si>
  <si>
    <t>Armenia</t>
  </si>
  <si>
    <t>Aruba</t>
  </si>
  <si>
    <t>Caribbean</t>
  </si>
  <si>
    <t>Baa3</t>
  </si>
  <si>
    <t>Australia</t>
  </si>
  <si>
    <t>Australia &amp; New Zealand</t>
  </si>
  <si>
    <t>Aaa</t>
  </si>
  <si>
    <t>Austria</t>
  </si>
  <si>
    <t>Aa1</t>
  </si>
  <si>
    <t>Azerbaijan</t>
  </si>
  <si>
    <t>Bahamas</t>
  </si>
  <si>
    <t>B1</t>
  </si>
  <si>
    <t>Bahrain</t>
  </si>
  <si>
    <t>B2</t>
  </si>
  <si>
    <t>Bangladesh</t>
  </si>
  <si>
    <t>Asia</t>
  </si>
  <si>
    <t>Barbados</t>
  </si>
  <si>
    <t>Belarus</t>
  </si>
  <si>
    <t>C</t>
  </si>
  <si>
    <t>Belgium</t>
  </si>
  <si>
    <t>Aa3</t>
  </si>
  <si>
    <t>Belize</t>
  </si>
  <si>
    <t>Caa1</t>
  </si>
  <si>
    <t>Benin</t>
  </si>
  <si>
    <t>Bermuda</t>
  </si>
  <si>
    <t>A2</t>
  </si>
  <si>
    <t>Bolivia</t>
  </si>
  <si>
    <t>Ca</t>
  </si>
  <si>
    <t>Bosnia and Herzegovina</t>
  </si>
  <si>
    <t>Botswana</t>
  </si>
  <si>
    <t>A3</t>
  </si>
  <si>
    <t>Brazil</t>
  </si>
  <si>
    <t>Ba1</t>
  </si>
  <si>
    <t>Bulgaria</t>
  </si>
  <si>
    <t>Burkina Faso</t>
  </si>
  <si>
    <t>Cambodia</t>
  </si>
  <si>
    <t>Cameroon</t>
  </si>
  <si>
    <t>Canada</t>
  </si>
  <si>
    <t>North America</t>
  </si>
  <si>
    <t>Cape Verde</t>
  </si>
  <si>
    <t>Cayman Islands</t>
  </si>
  <si>
    <t>Chile</t>
  </si>
  <si>
    <t>China</t>
  </si>
  <si>
    <t>A1</t>
  </si>
  <si>
    <t>Colombia</t>
  </si>
  <si>
    <t>Congo (Democratic Republic of)</t>
  </si>
  <si>
    <t>Congo (Republic of)</t>
  </si>
  <si>
    <t>Caa2</t>
  </si>
  <si>
    <t>Cook Islands</t>
  </si>
  <si>
    <t>Costa Rica</t>
  </si>
  <si>
    <t>Côte d'Ivoire</t>
  </si>
  <si>
    <t>Ba2</t>
  </si>
  <si>
    <t>Croatia</t>
  </si>
  <si>
    <t>Cuba</t>
  </si>
  <si>
    <t>Curacao</t>
  </si>
  <si>
    <t>Cyprus</t>
  </si>
  <si>
    <t>Czech Republic</t>
  </si>
  <si>
    <t>Denmark</t>
  </si>
  <si>
    <t>Dominican Republic</t>
  </si>
  <si>
    <t>Ecuador</t>
  </si>
  <si>
    <t>Egypt</t>
  </si>
  <si>
    <t>El Salvador</t>
  </si>
  <si>
    <t>Estonia</t>
  </si>
  <si>
    <t>Ethiopia</t>
  </si>
  <si>
    <t>Fiji</t>
  </si>
  <si>
    <t>Finland</t>
  </si>
  <si>
    <t>France</t>
  </si>
  <si>
    <t>Gabon</t>
  </si>
  <si>
    <t>Georgia</t>
  </si>
  <si>
    <t>Germany</t>
  </si>
  <si>
    <t>Ghana</t>
  </si>
  <si>
    <t>Greece</t>
  </si>
  <si>
    <t>Guatemala</t>
  </si>
  <si>
    <t>Guernsey (States of)</t>
  </si>
  <si>
    <t>Honduras</t>
  </si>
  <si>
    <t>Hong Kong</t>
  </si>
  <si>
    <t>Hungary</t>
  </si>
  <si>
    <t>Baa2</t>
  </si>
  <si>
    <t>Iceland</t>
  </si>
  <si>
    <t>India</t>
  </si>
  <si>
    <t>Indonesia</t>
  </si>
  <si>
    <t>Iraq</t>
  </si>
  <si>
    <t>Ireland</t>
  </si>
  <si>
    <t>Isle of Man</t>
  </si>
  <si>
    <t>Israel</t>
  </si>
  <si>
    <t>Italy</t>
  </si>
  <si>
    <t>Jamaica</t>
  </si>
  <si>
    <t>Japan</t>
  </si>
  <si>
    <t>Jersey (States of)</t>
  </si>
  <si>
    <t>Jordan</t>
  </si>
  <si>
    <t>Kazakhstan</t>
  </si>
  <si>
    <t>Kenya</t>
  </si>
  <si>
    <t>Korea</t>
  </si>
  <si>
    <t>Kuwait</t>
  </si>
  <si>
    <t>Kyrgyzstan</t>
  </si>
  <si>
    <t>Laos</t>
  </si>
  <si>
    <t>Latvia</t>
  </si>
  <si>
    <t>Lebanon</t>
  </si>
  <si>
    <t>Liechtenstein</t>
  </si>
  <si>
    <t>Lithuania</t>
  </si>
  <si>
    <t>Luxembourg</t>
  </si>
  <si>
    <t>Macao</t>
  </si>
  <si>
    <t>Macedonia</t>
  </si>
  <si>
    <t>Malaysia</t>
  </si>
  <si>
    <t>Maldives</t>
  </si>
  <si>
    <t>Mali</t>
  </si>
  <si>
    <t>Malta</t>
  </si>
  <si>
    <t>Mauritius</t>
  </si>
  <si>
    <t>Mexico</t>
  </si>
  <si>
    <t>Moldova</t>
  </si>
  <si>
    <t>Mongolia</t>
  </si>
  <si>
    <t>Montenegro</t>
  </si>
  <si>
    <t>Montserrat</t>
  </si>
  <si>
    <t>Morocco</t>
  </si>
  <si>
    <t>Mozambique</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</si>
  <si>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</si>
  <si>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</si>
  <si>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</si>
  <si>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</si>
  <si>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</si>
  <si>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</si>
  <si>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</si>
  <si>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</si>
  <si>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</si>
  <si>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</si>
  <si>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</si>
  <si>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</si>
  <si>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</si>
  <si>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</si>
  <si>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</si>
  <si>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</si>
  <si>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</si>
  <si>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Qatar</t>
  </si>
  <si>
    <t>Ras Al Khaimah (Emirate of)</t>
  </si>
  <si>
    <t>Romania</t>
  </si>
  <si>
    <t>Rwanda</t>
  </si>
  <si>
    <t>Saudi Arabia</t>
  </si>
  <si>
    <t>Senegal</t>
  </si>
  <si>
    <t>Serbia</t>
  </si>
  <si>
    <t>Sharjah</t>
  </si>
  <si>
    <t>Singapore</t>
  </si>
  <si>
    <t>Slovakia</t>
  </si>
  <si>
    <t>Slovenia</t>
  </si>
  <si>
    <t>Solomon Islands</t>
  </si>
  <si>
    <t>South Africa</t>
  </si>
  <si>
    <t>Spain</t>
  </si>
  <si>
    <t>Sri Lanka</t>
  </si>
  <si>
    <t>St. Maarten</t>
  </si>
  <si>
    <t>St. Vincent &amp; the Grenadines</t>
  </si>
  <si>
    <t>Suriname</t>
  </si>
  <si>
    <t>Swaziland</t>
  </si>
  <si>
    <t>Sweden</t>
  </si>
  <si>
    <t>Switzerland</t>
  </si>
  <si>
    <t>Taiwan</t>
  </si>
  <si>
    <t>Tajikistan</t>
  </si>
  <si>
    <t>Tanzania</t>
  </si>
  <si>
    <t>Thailand</t>
  </si>
  <si>
    <t>Togo</t>
  </si>
  <si>
    <t>Trinidad and Tobago</t>
  </si>
  <si>
    <t>Tunisia</t>
  </si>
  <si>
    <t>Turkey</t>
  </si>
  <si>
    <t>Turks and Caicos Islands</t>
  </si>
  <si>
    <t>Uganda</t>
  </si>
  <si>
    <t>Ukraine</t>
  </si>
  <si>
    <t>United Arab Emirates</t>
  </si>
  <si>
    <t>United Kingdom</t>
  </si>
  <si>
    <t>United States</t>
  </si>
  <si>
    <t>Uruguay</t>
  </si>
  <si>
    <t>Uzbekistan</t>
  </si>
  <si>
    <t>Venezuela</t>
  </si>
  <si>
    <t>Vietnam</t>
  </si>
  <si>
    <t>Zambia</t>
  </si>
  <si>
    <t>Is Company Large Firm or Small Firm?</t>
  </si>
  <si>
    <t>Large</t>
  </si>
  <si>
    <t>Small</t>
  </si>
  <si>
    <t>Country Data</t>
  </si>
  <si>
    <t>Company Data</t>
  </si>
  <si>
    <t>For large non-financial service firms</t>
  </si>
  <si>
    <t>If interest coverage ratio is</t>
  </si>
  <si>
    <t>&gt;</t>
  </si>
  <si>
    <t>≤ to</t>
  </si>
  <si>
    <t>Rating is</t>
  </si>
  <si>
    <t>Spread is</t>
  </si>
  <si>
    <t>D2/D</t>
  </si>
  <si>
    <t>C2/C</t>
  </si>
  <si>
    <t>Ca2/CC</t>
  </si>
  <si>
    <t>Caa/CCC</t>
  </si>
  <si>
    <t>B3/B-</t>
  </si>
  <si>
    <t>B2/B</t>
  </si>
  <si>
    <t>B1/B+</t>
  </si>
  <si>
    <t>Ba2/BB</t>
  </si>
  <si>
    <t>Ba1/BB+</t>
  </si>
  <si>
    <t>Baa2/BBB</t>
  </si>
  <si>
    <t>A3/A-</t>
  </si>
  <si>
    <t>A2/A</t>
  </si>
  <si>
    <t>A1/A+</t>
  </si>
  <si>
    <t>Aa2/AA</t>
  </si>
  <si>
    <t>Aaa/AAA</t>
  </si>
  <si>
    <t>For smaller and riskier firms</t>
  </si>
  <si>
    <t>greater than</t>
  </si>
  <si>
    <t>Low</t>
  </si>
  <si>
    <t>Mid</t>
  </si>
  <si>
    <t>High</t>
  </si>
  <si>
    <t>Equity Risk Premium</t>
  </si>
  <si>
    <t>D/E Ratio</t>
  </si>
  <si>
    <t>Equity Beta</t>
  </si>
  <si>
    <t>CAPM Cost of Equity</t>
  </si>
  <si>
    <t>Asset Specific Premium</t>
  </si>
  <si>
    <t>Modified Cost of Equity</t>
  </si>
  <si>
    <t>Pre Tax Cost of Debt</t>
  </si>
  <si>
    <t>Post Tax Cost of Debt</t>
  </si>
  <si>
    <t>Capital Gearing (D/D+E)</t>
  </si>
  <si>
    <t>Weighted Average Cost of Capital (Rounded)</t>
  </si>
  <si>
    <t>ICR Based Corporate Default Spread</t>
  </si>
  <si>
    <t>Comparable Company</t>
  </si>
  <si>
    <t>Ticker</t>
  </si>
  <si>
    <t>Market Cap</t>
  </si>
  <si>
    <t xml:space="preserve"> Asset Beta</t>
  </si>
  <si>
    <t>Blume Beta Analysis 2 Years Weekly</t>
  </si>
  <si>
    <t>2/3 to Co. Beta and 1/3 to Market Beta</t>
  </si>
  <si>
    <t>Bajaj Auto Ltd</t>
  </si>
  <si>
    <t>Beta Analysis 5 Years Monthly</t>
  </si>
  <si>
    <t>No. of Monthly Observations</t>
  </si>
  <si>
    <t>5 Yrs Avg D/E</t>
  </si>
  <si>
    <t>5 Yrs Avg D/D+E</t>
  </si>
  <si>
    <t>TVS Motor Co.</t>
  </si>
  <si>
    <t>NSE: BAJAJ-AUTO</t>
  </si>
  <si>
    <t>NSE: TVSMOTOR</t>
  </si>
  <si>
    <t>Hero Motocorp</t>
  </si>
  <si>
    <t>NSE: HEROMOTOCO</t>
  </si>
  <si>
    <t>Harley-Davidson</t>
  </si>
  <si>
    <t>NYSE: HOG</t>
  </si>
  <si>
    <t>Honda Motor Co.</t>
  </si>
  <si>
    <t>TYO: 7267</t>
  </si>
  <si>
    <t>Yamaha Motor Co.</t>
  </si>
  <si>
    <t>TYO: 7272</t>
  </si>
  <si>
    <t xml:space="preserve">Average </t>
  </si>
  <si>
    <t>We are taking 0.45 as Asset Beta of Motor Vehicle Companies</t>
  </si>
  <si>
    <t xml:space="preserve">1. Tax Rate considered as Marginal Tax Rate of India
</t>
  </si>
  <si>
    <t>2. Asset Beta is considered as median of 5 years beta of Comps adjusted for blume effect.</t>
  </si>
  <si>
    <t>3. Equity Beta = Asset Beta * (1+(1-Tax Rate %)*(Debt/Equity))</t>
  </si>
  <si>
    <t>Equity Risk Premium (ERP)</t>
  </si>
  <si>
    <t>For the purpose of assessing the cost of debt, we have used the country's risk free rate, country's default spread and Corporate Default Spread (CDS). And CDS based on company's debt rating and Interest Coverage Ratio.</t>
  </si>
  <si>
    <t>Emperically small sized assets have exceeded the returns as compared to large sized assets. We have used the study on size premium conducted by incwert which is based on difference between actual returns &amp; CAPM expected returns range in decile basis market capitalization of Indian companies.</t>
  </si>
  <si>
    <t xml:space="preserve">Small Size Premium </t>
  </si>
  <si>
    <t>Less: Depreciation &amp; Amortization</t>
  </si>
  <si>
    <t>Add: Depreciation &amp; Amortization</t>
  </si>
  <si>
    <t>Cash NOPAT</t>
  </si>
  <si>
    <t>Capex During the Year</t>
  </si>
  <si>
    <t>Add: Non Operating Asset</t>
  </si>
  <si>
    <t>Less: Value of Options</t>
  </si>
  <si>
    <t>Less: Minority Interest</t>
  </si>
  <si>
    <t>Equity Value for Shareholder</t>
  </si>
  <si>
    <t>Valuing Options or Warrants</t>
  </si>
  <si>
    <t>Enter the current stock price =</t>
  </si>
  <si>
    <t>Enter the strike price on the option =</t>
  </si>
  <si>
    <t>Enter the expiration of the option =</t>
  </si>
  <si>
    <t>Enter the standard deviation in stock prices =</t>
  </si>
  <si>
    <t>(volatility)</t>
  </si>
  <si>
    <t>Enter the annualized dividend yield on stock =</t>
  </si>
  <si>
    <t>Enter the Risk Free rate =</t>
  </si>
  <si>
    <t>Enter the number of options outstanding =</t>
  </si>
  <si>
    <t>Enter the number of shares outstanding =</t>
  </si>
  <si>
    <t>Do not input any numbers below this line</t>
  </si>
  <si>
    <t>VALUING OPTIONS WHEN THERE IS DILUTION</t>
  </si>
  <si>
    <t>Stock Price=</t>
  </si>
  <si>
    <t># Warrants issued=</t>
  </si>
  <si>
    <t>Strike Price=</t>
  </si>
  <si>
    <t># Shares outstanding=</t>
  </si>
  <si>
    <t>Adjusted S =</t>
  </si>
  <si>
    <t>T.Bond rate=</t>
  </si>
  <si>
    <t>Adjusted K =</t>
  </si>
  <si>
    <t>Variance=</t>
  </si>
  <si>
    <t>Expiration (in years) =</t>
  </si>
  <si>
    <t>Annualized dividend yield=</t>
  </si>
  <si>
    <t>Div. Adj. interest rate=</t>
  </si>
  <si>
    <t xml:space="preserve">d1 = </t>
  </si>
  <si>
    <t>N (d1) =</t>
  </si>
  <si>
    <t xml:space="preserve">d2 = </t>
  </si>
  <si>
    <t>N (d2) =</t>
  </si>
  <si>
    <t xml:space="preserve">Value per option = </t>
  </si>
  <si>
    <t>Value of all options outstanding =</t>
  </si>
  <si>
    <t>Sensitivity Analysis</t>
  </si>
  <si>
    <t>Terminal Growth %</t>
  </si>
  <si>
    <t>WACC</t>
  </si>
  <si>
    <t>Maturity Period</t>
  </si>
  <si>
    <t>CAGR - Explicit Forecast</t>
  </si>
  <si>
    <t>Conclusion - Capex</t>
  </si>
  <si>
    <t>tranch</t>
  </si>
  <si>
    <t>Grant date</t>
  </si>
  <si>
    <t>no of options granted</t>
  </si>
  <si>
    <t>exercise price</t>
  </si>
  <si>
    <t>maturity</t>
  </si>
  <si>
    <t xml:space="preserve">expected volatility </t>
  </si>
  <si>
    <t>expected dividends</t>
  </si>
  <si>
    <t>Options series</t>
  </si>
  <si>
    <t>Number</t>
  </si>
  <si>
    <t>Vesting period</t>
  </si>
  <si>
    <t>Expiry date</t>
  </si>
  <si>
    <t>Exercise Price Rs.</t>
  </si>
  <si>
    <t>Fair value of options at grant date Rs.</t>
  </si>
  <si>
    <t>(viii)</t>
  </si>
  <si>
    <t>11-Aug-14</t>
  </si>
  <si>
    <t>3-5 Years</t>
  </si>
  <si>
    <t>10-Aug-24</t>
  </si>
  <si>
    <t>(x)</t>
  </si>
  <si>
    <t>12-Jan-15</t>
  </si>
  <si>
    <t>11-Jan-25</t>
  </si>
  <si>
    <t>(xii)</t>
  </si>
  <si>
    <t>8-May-15</t>
  </si>
  <si>
    <t>7-May-25</t>
  </si>
  <si>
    <t>(xiii)</t>
  </si>
  <si>
    <t>21-Jul-15</t>
  </si>
  <si>
    <t>20-Jul-25</t>
  </si>
  <si>
    <t>(xiv)</t>
  </si>
  <si>
    <t>6-Nov-15</t>
  </si>
  <si>
    <t>5-Nov-25</t>
  </si>
  <si>
    <t>(xv)</t>
  </si>
  <si>
    <t>5-Feb-16</t>
  </si>
  <si>
    <t>4-Feb-26</t>
  </si>
  <si>
    <t>(xvi)</t>
  </si>
  <si>
    <t>27-Apr-16</t>
  </si>
  <si>
    <t>26-Apr-26</t>
  </si>
  <si>
    <t>(xvii)</t>
  </si>
  <si>
    <t>28-Jul-16</t>
  </si>
  <si>
    <t>27-Jul-26</t>
  </si>
  <si>
    <t>(xviii)</t>
  </si>
  <si>
    <t>28-Oct-16</t>
  </si>
  <si>
    <t>27-Oct-26</t>
  </si>
  <si>
    <t>(xxi)</t>
  </si>
  <si>
    <t>9-Aug-17</t>
  </si>
  <si>
    <t>8-Aug-27</t>
  </si>
  <si>
    <t>(xxii)</t>
  </si>
  <si>
    <t>14-Nov-17</t>
  </si>
  <si>
    <t>13-Nov-27</t>
  </si>
  <si>
    <t>(xxx)</t>
  </si>
  <si>
    <t>1-Aug-19</t>
  </si>
  <si>
    <t>31-Jul-31</t>
  </si>
  <si>
    <t>(xxxi)</t>
  </si>
  <si>
    <t>6-May-20</t>
  </si>
  <si>
    <t>5-May-32</t>
  </si>
  <si>
    <t>(xxxii)</t>
  </si>
  <si>
    <t>5-May-30</t>
  </si>
  <si>
    <t>(xxxiv)</t>
  </si>
  <si>
    <t>10-Feb-21</t>
  </si>
  <si>
    <t>9-Feb-31</t>
  </si>
  <si>
    <t>(xxxv)</t>
  </si>
  <si>
    <t>27-May-21</t>
  </si>
  <si>
    <t>26-May-31</t>
  </si>
  <si>
    <t>(xxxvi)</t>
  </si>
  <si>
    <t>3-4 Years</t>
  </si>
  <si>
    <t>(xxxvii)</t>
  </si>
  <si>
    <t>3-Nov-21</t>
  </si>
  <si>
    <t>2-Nov-31</t>
  </si>
  <si>
    <t>Weighted Avg</t>
  </si>
  <si>
    <t>Return on Equity (ROE)</t>
  </si>
  <si>
    <t>Average Shareholder Equity</t>
  </si>
  <si>
    <t>ROE - Dupont Equation</t>
  </si>
  <si>
    <t>Net Profit Margin (A)</t>
  </si>
  <si>
    <t>Average Total Assets</t>
  </si>
  <si>
    <t>Asset Turnover Ratio (B)</t>
  </si>
  <si>
    <t xml:space="preserve">Equity Multiplier (C) </t>
  </si>
  <si>
    <t>Return on Equity (A*B*C)</t>
  </si>
  <si>
    <t>Return on Asset</t>
  </si>
  <si>
    <t>ROA - Dupont Equation</t>
  </si>
  <si>
    <t>Return on Asset (A*B)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</si>
</sst>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0;\(#,##0\);\-"/>
    <numFmt numFmtId="165" formatCode="0.0%"/>
    <numFmt numFmtId="166" formatCode="&quot;FY&quot;0"/>
    <numFmt numFmtId="167" formatCode="&quot;₹&quot;\ #,##0"/>
    <numFmt numFmtId="168" formatCode="&quot;₹&quot;\ #,##0;\(&quot;₹&quot;\ #,##0\);\-"/>
    <numFmt numFmtId="169" formatCode="0\ &quot;Days&quot;"/>
    <numFmt numFmtId="170" formatCode="0\ &quot;days&quot;"/>
    <numFmt numFmtId="171" formatCode="0.0&quot;x&quot;"/>
    <numFmt numFmtId="172" formatCode="0.000"/>
    <numFmt numFmtId="173" formatCode="0.00&quot;x&quot;"/>
    <numFmt numFmtId="174" formatCode="0.0"/>
    <numFmt numFmtId="175" formatCode="&quot;Average Useful Life -&quot;\ 0\ &quot;Years&quot;"/>
    <numFmt numFmtId="176" formatCode="0.0000"/>
    <numFmt numFmtId="177" formatCode="_(&quot;$&quot;* #,##0.00_);_(&quot;$&quot;* \(#,##0.00\);_(&quot;$&quot;* &quot;-&quot;??_);_(@_)"/>
    <numFmt numFmtId="178" formatCode="_(* #,##0.00_);_(* \(#,##0.00\);_(* &quot;-&quot;??_);_(@_)"/>
    <numFmt numFmtId="179" formatCode="#,##0.0000"/>
    <numFmt numFmtId="180" formatCode="0&quot;x&quot;"/>
    <numFmt numFmtId="181" formatCode="#,##0.0"/>
    <numFmt numFmtId="182" formatCode="&quot;FY&quot;0000"/>
    <numFmt numFmtId="183" formatCode="#,##0;\(\-#,##0\);\-"/>
    <numFmt numFmtId="184" formatCode="0.0\ "/>
  </numFmts>
  <fonts count="81">
    <font>
      <sz val="11"/>
      <color theme="1"/>
      <name val="Calibri"/>
      <family val="2"/>
    </font>
    <font>
      <sz val="10"/>
      <name val="Arial"/>
      <family val="2"/>
    </font>
    <font>
      <sz val="11"/>
      <name val="Calibri"/>
      <family val="2"/>
      <scheme val="minor"/>
    </font>
    <font>
      <sz val="12"/>
      <name val="Arial"/>
      <family val="2"/>
    </font>
    <font>
      <b/>
      <sz val="11"/>
      <color rgb="FF000000"/>
      <name val="Calibri"/>
      <family val="2"/>
      <scheme val="minor"/>
    </font>
    <font>
      <sz val="10"/>
      <name val="Calibri"/>
      <family val="2"/>
      <scheme val="minor"/>
    </font>
    <font>
      <sz val="11"/>
      <color theme="1"/>
      <name val="Calibri"/>
      <family val="2"/>
      <scheme val="minor"/>
    </font>
    <font>
      <b/>
      <sz val="11"/>
      <color theme="0"/>
      <name val="Calibri"/>
      <family val="2"/>
      <scheme val="minor"/>
    </font>
    <font>
      <b/>
      <sz val="10"/>
      <name val="Calibri"/>
      <family val="2"/>
      <scheme val="minor"/>
    </font>
    <font>
      <sz val="10"/>
      <color theme="1"/>
      <name val="Calibri"/>
      <family val="2"/>
      <scheme val="minor"/>
    </font>
    <font>
      <b/>
      <u/>
      <sz val="11"/>
      <name val="Calibri"/>
      <family val="2"/>
      <scheme val="minor"/>
    </font>
    <font>
      <b/>
      <sz val="11"/>
      <color theme="0"/>
      <name val="Calibri"/>
      <family val="2"/>
    </font>
    <font>
      <b/>
      <sz val="11"/>
      <color theme="1"/>
      <name val="Calibri"/>
      <family val="2"/>
    </font>
    <font>
      <b/>
      <sz val="16"/>
      <color rgb="FF0070C0"/>
      <name val="Calibri"/>
      <family val="2"/>
    </font>
    <font>
      <i/>
      <sz val="11"/>
      <color rgb="FF0070C0"/>
      <name val="Calibri"/>
      <family val="2"/>
    </font>
    <font>
      <b/>
      <sz val="14"/>
      <color theme="1"/>
      <name val="Calibri"/>
      <family val="2"/>
    </font>
    <font>
      <b/>
      <sz val="14"/>
      <color theme="0"/>
      <name val="Calibri"/>
      <family val="2"/>
    </font>
    <font>
      <sz val="11"/>
      <color rgb="FF3333FF"/>
      <name val="Calibri"/>
      <family val="2"/>
    </font>
    <font>
      <sz val="11"/>
      <color theme="9" tint="-0.499984740745262"/>
      <name val="Calibri"/>
      <family val="2"/>
    </font>
    <font>
      <b/>
      <sz val="11"/>
      <color rgb="FF3333FF"/>
      <name val="Calibri"/>
      <family val="2"/>
    </font>
    <font>
      <b/>
      <u/>
      <sz val="11"/>
      <color theme="1"/>
      <name val="Calibri"/>
      <family val="2"/>
    </font>
    <font>
      <b/>
      <sz val="11"/>
      <color theme="9" tint="-0.249977111117893"/>
      <name val="Calibri"/>
      <family val="2"/>
    </font>
    <font>
      <i/>
      <sz val="11"/>
      <color theme="1"/>
      <name val="Calibri"/>
      <family val="2"/>
    </font>
    <font>
      <b/>
      <sz val="11"/>
      <color theme="9" tint="-0.499984740745262"/>
      <name val="Calibri"/>
      <family val="2"/>
    </font>
    <font>
      <sz val="11"/>
      <color rgb="FF000000"/>
      <name val="Calibri"/>
      <family val="2"/>
      <scheme val="minor"/>
    </font>
    <font>
      <b/>
      <u/>
      <sz val="11"/>
      <color rgb="FF000000"/>
      <name val="Calibri"/>
      <family val="2"/>
      <scheme val="minor"/>
    </font>
    <font>
      <sz val="11"/>
      <color theme="9" tint="-0.249977111117893"/>
      <name val="Calibri"/>
      <family val="2"/>
    </font>
    <font>
      <b/>
      <sz val="12"/>
      <color theme="0"/>
      <name val="Calibri"/>
      <family val="2"/>
    </font>
    <font>
      <sz val="11"/>
      <color theme="0"/>
      <name val="Calibri"/>
      <family val="2"/>
    </font>
    <font>
      <b/>
      <sz val="11"/>
      <name val="Calibri"/>
      <family val="2"/>
      <scheme val="minor"/>
    </font>
    <font>
      <sz val="11"/>
      <color theme="1"/>
      <name val="Calibri"/>
      <family val="2"/>
    </font>
    <font>
      <i/>
      <sz val="11"/>
      <color rgb="FF000000"/>
      <name val="Calibri"/>
      <family val="2"/>
      <scheme val="minor"/>
    </font>
    <font>
      <b/>
      <i/>
      <sz val="11"/>
      <color rgb="FF000000"/>
      <name val="Calibri"/>
      <family val="2"/>
      <scheme val="minor"/>
    </font>
    <font>
      <i/>
      <sz val="10"/>
      <color theme="1"/>
      <name val="Calibri"/>
      <family val="2"/>
    </font>
    <font>
      <sz val="11"/>
      <color rgb="FF202020"/>
      <name val="Calibri"/>
      <family val="2"/>
      <scheme val="minor"/>
    </font>
    <font>
      <u/>
      <sz val="11"/>
      <color theme="10"/>
      <name val="Calibri"/>
      <family val="2"/>
    </font>
    <font>
      <sz val="9"/>
      <color rgb="FF000000"/>
      <name val="Arial"/>
      <family val="2"/>
    </font>
    <font>
      <b/>
      <sz val="9"/>
      <color rgb="FF000000"/>
      <name val="Arial"/>
      <family val="2"/>
    </font>
    <font>
      <sz val="10"/>
      <color rgb="FF2B3033"/>
      <name val="Raleway Regular"/>
    </font>
    <font>
      <sz val="10"/>
      <color rgb="FF993300"/>
      <name val="Raleway Regular"/>
    </font>
    <font>
      <sz val="11"/>
      <name val="Calibri"/>
      <family val="2"/>
    </font>
    <font>
      <b/>
      <sz val="12"/>
      <color theme="1"/>
      <name val="Calibri"/>
      <family val="2"/>
    </font>
    <font>
      <sz val="11"/>
      <color rgb="FF282B32"/>
      <name val="Calibri"/>
      <family val="2"/>
      <scheme val="minor"/>
    </font>
    <font>
      <sz val="9"/>
      <color indexed="81"/>
      <name val="Tahoma"/>
      <family val="2"/>
    </font>
    <font>
      <b/>
      <sz val="9"/>
      <color indexed="81"/>
      <name val="Tahoma"/>
      <family val="2"/>
    </font>
    <font>
      <sz val="14"/>
      <name val="Calibri"/>
      <family val="2"/>
    </font>
    <font>
      <sz val="14"/>
      <color theme="1"/>
      <name val="Calibri"/>
      <family val="2"/>
    </font>
    <font>
      <sz val="12"/>
      <color theme="1"/>
      <name val="Calibri"/>
      <family val="2"/>
      <scheme val="minor"/>
    </font>
    <font>
      <u/>
      <sz val="12"/>
      <color theme="10"/>
      <name val="Calibri"/>
      <family val="2"/>
      <scheme val="minor"/>
    </font>
    <font>
      <b/>
      <sz val="11"/>
      <name val="Calibri"/>
      <family val="2"/>
    </font>
    <font>
      <b/>
      <i/>
      <sz val="11"/>
      <color theme="1"/>
      <name val="Calibri"/>
      <family val="2"/>
    </font>
    <font>
      <sz val="11"/>
      <color rgb="FFFFFFFF"/>
      <name val="Calibri"/>
      <family val="2"/>
      <scheme val="minor"/>
    </font>
    <font>
      <sz val="11"/>
      <color rgb="FF000000"/>
      <name val="Calibri"/>
      <family val="2"/>
      <scheme val="minor"/>
    </font>
    <font>
      <b/>
      <sz val="14"/>
      <name val="Calibri"/>
      <family val="2"/>
    </font>
    <font>
      <sz val="11"/>
      <color theme="0" tint="-0.499984740745262"/>
      <name val="Calibri"/>
      <family val="2"/>
    </font>
    <font>
      <sz val="11"/>
      <color rgb="FF22222F"/>
      <name val="Arial"/>
      <family val="2"/>
    </font>
    <font>
      <i/>
      <sz val="9"/>
      <color theme="1"/>
      <name val="Calibri"/>
      <family val="2"/>
    </font>
    <font>
      <i/>
      <sz val="11"/>
      <color theme="0" tint="-0.499984740745262"/>
      <name val="Calibri"/>
      <family val="2"/>
    </font>
    <font>
      <i/>
      <sz val="11"/>
      <color theme="9" tint="-0.249977111117893"/>
      <name val="Calibri"/>
      <family val="2"/>
    </font>
    <font>
      <i/>
      <sz val="11"/>
      <name val="Calibri"/>
      <family val="2"/>
    </font>
    <font>
      <b/>
      <i/>
      <sz val="11"/>
      <name val="Calibri"/>
      <family val="2"/>
    </font>
    <font>
      <b/>
      <sz val="10"/>
      <name val="Times"/>
      <family val="1"/>
    </font>
    <font>
      <sz val="10"/>
      <name val="Geneva"/>
      <family val="2"/>
      <charset val="1"/>
    </font>
    <font>
      <i/>
      <sz val="10"/>
      <name val="Times Roman"/>
    </font>
    <font>
      <sz val="10"/>
      <name val="Times Roman"/>
    </font>
    <font>
      <sz val="11"/>
      <color theme="0" tint="-0.14999847407452621"/>
      <name val="Calibri"/>
      <family val="2"/>
    </font>
    <font>
      <sz val="11"/>
      <color theme="0" tint="-0.34998626667073579"/>
      <name val="Calibri"/>
      <family val="2"/>
    </font>
    <font>
      <b/>
      <sz val="11"/>
      <color rgb="FF002060"/>
      <name val="Calibri"/>
      <family val="2"/>
    </font>
    <font>
      <sz val="9"/>
      <name val="Geneva"/>
      <family val="2"/>
    </font>
    <font>
      <b/>
      <sz val="14"/>
      <name val="Geneva"/>
      <family val="2"/>
    </font>
    <font>
      <b/>
      <sz val="11"/>
      <color rgb="FF3333FF"/>
      <name val="Calibri"/>
      <family val="2"/>
      <scheme val="minor"/>
    </font>
    <font>
      <b/>
      <i/>
      <sz val="11"/>
      <name val="Calibri"/>
      <family val="2"/>
      <scheme val="minor"/>
    </font>
    <font>
      <i/>
      <sz val="11"/>
      <name val="Calibri"/>
      <family val="2"/>
      <scheme val="minor"/>
    </font>
    <font>
      <i/>
      <sz val="10"/>
      <name val="Geneva"/>
      <family val="2"/>
    </font>
    <font>
      <sz val="10"/>
      <name val="Times"/>
      <family val="1"/>
    </font>
    <font>
      <sz val="11"/>
      <color theme="0" tint="-4.9989318521683403E-2"/>
      <name val="Calibri"/>
      <family val="2"/>
    </font>
    <font>
      <b/>
      <sz val="10"/>
      <color theme="1"/>
      <name val="Calibri"/>
      <family val="2"/>
    </font>
    <font>
      <b/>
      <sz val="11"/>
      <name val="Geneva"/>
      <family val="2"/>
    </font>
    <font>
      <b/>
      <sz val="11"/>
      <color theme="1"/>
      <name val="Calibri"/>
      <family val="2"/>
      <scheme val="minor"/>
    </font>
    <font>
      <sz val="11"/>
      <color theme="0" tint="-0.249977111117893"/>
      <name val="Calibri"/>
      <family val="2"/>
    </font>
    <font>
      <b/>
      <sz val="12"/>
      <color theme="0"/>
      <name val="Calibri"/>
      <family val="2"/>
      <scheme val="minor"/>
    </font>
  </fonts>
  <fills count="17">
    <fill>
      <patternFill patternType="none"/>
    </fill>
    <fill>
      <patternFill patternType="gray125"/>
    </fill>
    <fill>
      <patternFill patternType="solid">
        <fgColor rgb="FF002060"/>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EAEEF5"/>
        <bgColor indexed="64"/>
      </patternFill>
    </fill>
    <fill>
      <patternFill patternType="solid">
        <fgColor theme="0"/>
        <bgColor indexed="64"/>
      </patternFill>
    </fill>
    <fill>
      <patternFill patternType="solid">
        <fgColor rgb="FFE8EBF5"/>
        <bgColor indexed="64"/>
      </patternFill>
    </fill>
    <fill>
      <patternFill patternType="solid">
        <fgColor theme="9" tint="-0.49998474074526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rgb="FF093967"/>
        <bgColor indexed="64"/>
      </patternFill>
    </fill>
    <fill>
      <patternFill patternType="solid">
        <fgColor theme="7" tint="0.79998168889431442"/>
        <bgColor indexed="64"/>
      </patternFill>
    </fill>
    <fill>
      <patternFill patternType="solid">
        <fgColor theme="8" tint="0.39997558519241921"/>
        <bgColor indexed="64"/>
      </patternFill>
    </fill>
  </fills>
  <borders count="15">
    <border>
      <left/>
      <right/>
      <top/>
      <bottom/>
      <diagonal/>
    </border>
    <border>
      <left/>
      <right/>
      <top/>
      <bottom style="thin">
        <color indexed="64"/>
      </bottom>
      <diagonal/>
    </border>
    <border>
      <left/>
      <right/>
      <top style="thin">
        <color indexed="64"/>
      </top>
      <bottom style="medium">
        <color indexed="64"/>
      </bottom>
      <diagonal/>
    </border>
    <border>
      <left/>
      <right/>
      <top style="hair">
        <color auto="1"/>
      </top>
      <bottom style="hair">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rgb="FF000000"/>
      </left>
      <right style="medium">
        <color rgb="FFDDDDDD"/>
      </right>
      <top style="thin">
        <color rgb="FF000000"/>
      </top>
      <bottom style="thin">
        <color rgb="FF000000"/>
      </bottom>
      <diagonal/>
    </border>
    <border>
      <left style="medium">
        <color rgb="FFDDDDDD"/>
      </left>
      <right style="thin">
        <color rgb="FF000000"/>
      </right>
      <top style="thin">
        <color rgb="FF000000"/>
      </top>
      <bottom style="thin">
        <color rgb="FF000000"/>
      </bottom>
      <diagonal/>
    </border>
    <border>
      <left/>
      <right/>
      <top style="dashed">
        <color auto="1"/>
      </top>
      <bottom/>
      <diagonal/>
    </border>
    <border>
      <left/>
      <right/>
      <top style="dashed">
        <color auto="1"/>
      </top>
      <bottom style="dashed">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4">
    <xf numFmtId="0" fontId="0" fillId="0" borderId="0"/>
    <xf numFmtId="9" fontId="6" fillId="0" borderId="0" applyFont="0" applyFill="0" applyBorder="0" applyAlignment="0" applyProtection="0"/>
    <xf numFmtId="0" fontId="1" fillId="0" borderId="0"/>
    <xf numFmtId="0" fontId="3" fillId="0" borderId="0"/>
    <xf numFmtId="9" fontId="30" fillId="0" borderId="0" applyFont="0" applyFill="0" applyBorder="0" applyAlignment="0" applyProtection="0"/>
    <xf numFmtId="0" fontId="35" fillId="0" borderId="0" applyNumberFormat="0" applyFill="0" applyBorder="0" applyAlignment="0" applyProtection="0"/>
    <xf numFmtId="0" fontId="47" fillId="0" borderId="0"/>
    <xf numFmtId="0" fontId="48" fillId="0" borderId="0" applyNumberFormat="0" applyFill="0" applyBorder="0" applyAlignment="0" applyProtection="0"/>
    <xf numFmtId="9" fontId="47" fillId="0" borderId="0" applyFont="0" applyFill="0" applyBorder="0" applyAlignment="0" applyProtection="0"/>
    <xf numFmtId="0" fontId="6" fillId="0" borderId="0"/>
    <xf numFmtId="0" fontId="68" fillId="0" borderId="0"/>
    <xf numFmtId="177" fontId="68" fillId="0" borderId="0" applyFont="0" applyFill="0" applyBorder="0" applyAlignment="0" applyProtection="0"/>
    <xf numFmtId="9" fontId="68" fillId="0" borderId="0" applyFont="0" applyFill="0" applyBorder="0" applyAlignment="0" applyProtection="0"/>
    <xf numFmtId="178" fontId="68" fillId="0" borderId="0" applyFont="0" applyFill="0" applyBorder="0" applyAlignment="0" applyProtection="0"/>
  </cellStyleXfs>
  <cellXfs count="438">
    <xf numFmtId="0" fontId="0" fillId="0" borderId="0" xfId="0"/>
    <xf numFmtId="164" fontId="4" fillId="0" borderId="0" xfId="3" applyNumberFormat="1" applyFont="1" applyAlignment="1">
      <alignment vertical="center"/>
    </xf>
    <xf numFmtId="0" fontId="5" fillId="0" borderId="0" xfId="2" applyFont="1"/>
    <xf numFmtId="0" fontId="2" fillId="0" borderId="0" xfId="2" applyFont="1"/>
    <xf numFmtId="0" fontId="5" fillId="0" borderId="1" xfId="2" applyFont="1" applyBorder="1"/>
    <xf numFmtId="0" fontId="8" fillId="0" borderId="0" xfId="2" applyFont="1"/>
    <xf numFmtId="165" fontId="9" fillId="0" borderId="0" xfId="1" applyNumberFormat="1" applyFont="1" applyFill="1"/>
    <xf numFmtId="164" fontId="9" fillId="0" borderId="0" xfId="1" applyNumberFormat="1" applyFont="1" applyFill="1"/>
    <xf numFmtId="0" fontId="8" fillId="0" borderId="2" xfId="2" applyFont="1" applyBorder="1"/>
    <xf numFmtId="0" fontId="10" fillId="0" borderId="0" xfId="2" applyFont="1"/>
    <xf numFmtId="0" fontId="13" fillId="0" borderId="0" xfId="0" applyFont="1"/>
    <xf numFmtId="0" fontId="0" fillId="0" borderId="1" xfId="0" applyBorder="1"/>
    <xf numFmtId="0" fontId="14" fillId="0" borderId="1" xfId="0" applyFont="1" applyBorder="1"/>
    <xf numFmtId="166" fontId="12" fillId="0" borderId="1" xfId="0" applyNumberFormat="1" applyFont="1" applyBorder="1"/>
    <xf numFmtId="0" fontId="11" fillId="2" borderId="0" xfId="0" applyFont="1" applyFill="1"/>
    <xf numFmtId="0" fontId="15" fillId="0" borderId="0" xfId="0" applyFont="1"/>
    <xf numFmtId="0" fontId="16" fillId="2" borderId="0" xfId="0" applyFont="1" applyFill="1"/>
    <xf numFmtId="0" fontId="0" fillId="4" borderId="0" xfId="0" applyFill="1"/>
    <xf numFmtId="0" fontId="0" fillId="0" borderId="3" xfId="0" applyBorder="1"/>
    <xf numFmtId="0" fontId="17" fillId="0" borderId="3" xfId="0" applyFont="1" applyBorder="1"/>
    <xf numFmtId="0" fontId="12" fillId="5" borderId="0" xfId="0" applyFont="1" applyFill="1"/>
    <xf numFmtId="0" fontId="0" fillId="5" borderId="0" xfId="0" applyFill="1"/>
    <xf numFmtId="0" fontId="12" fillId="0" borderId="0" xfId="0" applyFont="1"/>
    <xf numFmtId="0" fontId="12" fillId="4" borderId="0" xfId="0" applyFont="1" applyFill="1"/>
    <xf numFmtId="0" fontId="12" fillId="0" borderId="4" xfId="0" applyFont="1" applyBorder="1"/>
    <xf numFmtId="0" fontId="0" fillId="0" borderId="4" xfId="0" applyBorder="1"/>
    <xf numFmtId="0" fontId="0" fillId="6" borderId="0" xfId="0" applyFill="1"/>
    <xf numFmtId="165" fontId="0" fillId="6" borderId="0" xfId="1" applyNumberFormat="1" applyFont="1" applyFill="1"/>
    <xf numFmtId="165" fontId="18" fillId="6" borderId="0" xfId="1" applyNumberFormat="1" applyFont="1" applyFill="1"/>
    <xf numFmtId="165" fontId="0" fillId="5" borderId="0" xfId="1" applyNumberFormat="1" applyFont="1" applyFill="1"/>
    <xf numFmtId="0" fontId="0" fillId="0" borderId="2" xfId="0" applyBorder="1"/>
    <xf numFmtId="0" fontId="12" fillId="0" borderId="2" xfId="0" applyFont="1" applyBorder="1"/>
    <xf numFmtId="165" fontId="0" fillId="0" borderId="0" xfId="1" applyNumberFormat="1" applyFont="1"/>
    <xf numFmtId="0" fontId="12" fillId="0" borderId="1" xfId="0" applyFont="1" applyBorder="1"/>
    <xf numFmtId="0" fontId="12" fillId="6" borderId="0" xfId="0" applyFont="1" applyFill="1"/>
    <xf numFmtId="167" fontId="12" fillId="0" borderId="0" xfId="0" applyNumberFormat="1" applyFont="1"/>
    <xf numFmtId="0" fontId="20" fillId="0" borderId="0" xfId="0" applyFont="1"/>
    <xf numFmtId="167" fontId="0" fillId="0" borderId="0" xfId="0" applyNumberFormat="1"/>
    <xf numFmtId="0" fontId="0" fillId="0" borderId="0" xfId="0" applyAlignment="1">
      <alignment horizontal="right"/>
    </xf>
    <xf numFmtId="165" fontId="17" fillId="0" borderId="3" xfId="0" applyNumberFormat="1" applyFont="1" applyBorder="1"/>
    <xf numFmtId="0" fontId="22" fillId="0" borderId="0" xfId="0" applyFont="1"/>
    <xf numFmtId="165" fontId="12" fillId="5" borderId="0" xfId="1" applyNumberFormat="1" applyFont="1" applyFill="1"/>
    <xf numFmtId="0" fontId="0" fillId="0" borderId="0" xfId="0" applyAlignment="1">
      <alignment horizontal="left" indent="1"/>
    </xf>
    <xf numFmtId="167" fontId="18" fillId="0" borderId="0" xfId="0" applyNumberFormat="1" applyFont="1"/>
    <xf numFmtId="167" fontId="23" fillId="0" borderId="0" xfId="0" applyNumberFormat="1" applyFont="1"/>
    <xf numFmtId="165" fontId="0" fillId="0" borderId="0" xfId="0" applyNumberFormat="1"/>
    <xf numFmtId="168" fontId="0" fillId="0" borderId="0" xfId="0" applyNumberFormat="1"/>
    <xf numFmtId="169" fontId="19" fillId="0" borderId="0" xfId="0" applyNumberFormat="1" applyFont="1"/>
    <xf numFmtId="170" fontId="12" fillId="6" borderId="0" xfId="0" applyNumberFormat="1" applyFont="1" applyFill="1"/>
    <xf numFmtId="165" fontId="12" fillId="6" borderId="0" xfId="1" applyNumberFormat="1" applyFont="1" applyFill="1"/>
    <xf numFmtId="165" fontId="12" fillId="6" borderId="0" xfId="0" applyNumberFormat="1" applyFont="1" applyFill="1"/>
    <xf numFmtId="165" fontId="17" fillId="0" borderId="0" xfId="0" applyNumberFormat="1" applyFont="1"/>
    <xf numFmtId="166" fontId="19" fillId="0" borderId="1" xfId="0" applyNumberFormat="1" applyFont="1" applyBorder="1"/>
    <xf numFmtId="164" fontId="24" fillId="0" borderId="0" xfId="3" applyNumberFormat="1" applyFont="1" applyAlignment="1">
      <alignment horizontal="left" vertical="center"/>
    </xf>
    <xf numFmtId="164" fontId="24" fillId="0" borderId="0" xfId="3" applyNumberFormat="1" applyFont="1" applyAlignment="1">
      <alignment vertical="center"/>
    </xf>
    <xf numFmtId="164" fontId="25" fillId="0" borderId="0" xfId="3" applyNumberFormat="1" applyFont="1" applyAlignment="1">
      <alignment horizontal="left" vertical="center"/>
    </xf>
    <xf numFmtId="164" fontId="24" fillId="0" borderId="0" xfId="3" applyNumberFormat="1" applyFont="1" applyAlignment="1">
      <alignment horizontal="left" vertical="center" indent="1"/>
    </xf>
    <xf numFmtId="0" fontId="2" fillId="0" borderId="0" xfId="2" applyFont="1" applyAlignment="1">
      <alignment horizontal="left" indent="1"/>
    </xf>
    <xf numFmtId="164" fontId="4" fillId="0" borderId="2" xfId="3" applyNumberFormat="1" applyFont="1" applyBorder="1" applyAlignment="1">
      <alignment vertical="center"/>
    </xf>
    <xf numFmtId="168" fontId="26" fillId="0" borderId="0" xfId="0" applyNumberFormat="1" applyFont="1"/>
    <xf numFmtId="164" fontId="4" fillId="0" borderId="4" xfId="3" applyNumberFormat="1" applyFont="1" applyBorder="1" applyAlignment="1">
      <alignment horizontal="left" vertical="center"/>
    </xf>
    <xf numFmtId="164" fontId="4" fillId="0" borderId="4" xfId="3" applyNumberFormat="1" applyFont="1" applyBorder="1" applyAlignment="1">
      <alignment vertical="center"/>
    </xf>
    <xf numFmtId="164" fontId="4" fillId="0" borderId="0" xfId="3" applyNumberFormat="1" applyFont="1" applyAlignment="1">
      <alignment horizontal="left" vertical="center"/>
    </xf>
    <xf numFmtId="0" fontId="27" fillId="2" borderId="0" xfId="0" applyFont="1" applyFill="1"/>
    <xf numFmtId="0" fontId="12" fillId="0" borderId="0" xfId="0" applyFont="1" applyAlignment="1">
      <alignment horizontal="left" indent="4"/>
    </xf>
    <xf numFmtId="0" fontId="0" fillId="0" borderId="0" xfId="0" applyAlignment="1">
      <alignment horizontal="left" indent="4"/>
    </xf>
    <xf numFmtId="0" fontId="14" fillId="0" borderId="0" xfId="0" applyFont="1"/>
    <xf numFmtId="166" fontId="19" fillId="0" borderId="0" xfId="0" applyNumberFormat="1" applyFont="1"/>
    <xf numFmtId="166" fontId="12" fillId="0" borderId="0" xfId="0" applyNumberFormat="1" applyFont="1"/>
    <xf numFmtId="0" fontId="28" fillId="2" borderId="0" xfId="0" applyFont="1" applyFill="1"/>
    <xf numFmtId="166" fontId="11" fillId="2" borderId="0" xfId="0" applyNumberFormat="1" applyFont="1" applyFill="1"/>
    <xf numFmtId="164" fontId="24" fillId="0" borderId="1" xfId="3" applyNumberFormat="1" applyFont="1" applyBorder="1" applyAlignment="1">
      <alignment horizontal="left" vertical="center" indent="1"/>
    </xf>
    <xf numFmtId="0" fontId="29" fillId="0" borderId="0" xfId="2" applyFont="1"/>
    <xf numFmtId="0" fontId="29" fillId="0" borderId="2" xfId="2" applyFont="1" applyBorder="1"/>
    <xf numFmtId="0" fontId="2" fillId="0" borderId="1" xfId="2" applyFont="1" applyBorder="1" applyAlignment="1">
      <alignment horizontal="left" indent="1"/>
    </xf>
    <xf numFmtId="168" fontId="0" fillId="0" borderId="4" xfId="0" applyNumberFormat="1" applyBorder="1"/>
    <xf numFmtId="167" fontId="26" fillId="0" borderId="0" xfId="0" applyNumberFormat="1" applyFont="1"/>
    <xf numFmtId="165" fontId="26" fillId="0" borderId="0" xfId="1" applyNumberFormat="1" applyFont="1"/>
    <xf numFmtId="165" fontId="12" fillId="0" borderId="2" xfId="1" applyNumberFormat="1" applyFont="1" applyBorder="1"/>
    <xf numFmtId="171" fontId="12" fillId="0" borderId="4" xfId="0" applyNumberFormat="1" applyFont="1" applyBorder="1"/>
    <xf numFmtId="165" fontId="12" fillId="0" borderId="4" xfId="1" applyNumberFormat="1" applyFont="1" applyBorder="1"/>
    <xf numFmtId="165" fontId="12" fillId="0" borderId="0" xfId="1" applyNumberFormat="1" applyFont="1" applyBorder="1"/>
    <xf numFmtId="171" fontId="12" fillId="0" borderId="4" xfId="1" applyNumberFormat="1" applyFont="1" applyBorder="1"/>
    <xf numFmtId="0" fontId="12" fillId="0" borderId="4" xfId="0" applyFont="1" applyBorder="1" applyAlignment="1">
      <alignment horizontal="left"/>
    </xf>
    <xf numFmtId="0" fontId="0" fillId="0" borderId="0" xfId="0" applyAlignment="1">
      <alignment horizontal="left" indent="2"/>
    </xf>
    <xf numFmtId="0" fontId="0" fillId="0" borderId="5" xfId="0" applyBorder="1"/>
    <xf numFmtId="0" fontId="17" fillId="0" borderId="5" xfId="0" applyFont="1" applyBorder="1"/>
    <xf numFmtId="9" fontId="0" fillId="0" borderId="5" xfId="0" applyNumberFormat="1" applyBorder="1"/>
    <xf numFmtId="172" fontId="0" fillId="0" borderId="0" xfId="0" applyNumberFormat="1"/>
    <xf numFmtId="0" fontId="12" fillId="0" borderId="2" xfId="0" applyFont="1" applyBorder="1" applyAlignment="1">
      <alignment horizontal="left"/>
    </xf>
    <xf numFmtId="10" fontId="0" fillId="0" borderId="0" xfId="0" applyNumberFormat="1"/>
    <xf numFmtId="9" fontId="0" fillId="0" borderId="0" xfId="0" applyNumberFormat="1"/>
    <xf numFmtId="9" fontId="12" fillId="0" borderId="0" xfId="0" applyNumberFormat="1" applyFont="1"/>
    <xf numFmtId="171" fontId="0" fillId="0" borderId="0" xfId="0" applyNumberFormat="1"/>
    <xf numFmtId="165" fontId="0" fillId="6" borderId="0" xfId="0" applyNumberFormat="1" applyFill="1"/>
    <xf numFmtId="0" fontId="24" fillId="8" borderId="0" xfId="0" applyFont="1" applyFill="1" applyAlignment="1">
      <alignment horizontal="left" vertical="center"/>
    </xf>
    <xf numFmtId="0" fontId="24" fillId="7" borderId="0" xfId="0" applyFont="1" applyFill="1" applyAlignment="1">
      <alignment horizontal="right" vertical="center"/>
    </xf>
    <xf numFmtId="0" fontId="24" fillId="7" borderId="0" xfId="0" applyFont="1" applyFill="1" applyAlignment="1">
      <alignment horizontal="left" vertical="center"/>
    </xf>
    <xf numFmtId="3" fontId="24" fillId="7" borderId="0" xfId="0" applyNumberFormat="1" applyFont="1" applyFill="1" applyAlignment="1">
      <alignment horizontal="right" vertical="center"/>
    </xf>
    <xf numFmtId="0" fontId="0" fillId="9" borderId="0" xfId="0" applyFill="1"/>
    <xf numFmtId="0" fontId="24" fillId="9" borderId="0" xfId="0" applyFont="1" applyFill="1" applyAlignment="1">
      <alignment horizontal="left" vertical="center"/>
    </xf>
    <xf numFmtId="164" fontId="24" fillId="9" borderId="0" xfId="0" applyNumberFormat="1" applyFont="1" applyFill="1" applyAlignment="1">
      <alignment horizontal="right" vertical="center"/>
    </xf>
    <xf numFmtId="164" fontId="4" fillId="9" borderId="2" xfId="0" applyNumberFormat="1" applyFont="1" applyFill="1" applyBorder="1" applyAlignment="1">
      <alignment horizontal="right" vertical="center"/>
    </xf>
    <xf numFmtId="0" fontId="4" fillId="9" borderId="2" xfId="0" applyFont="1" applyFill="1" applyBorder="1" applyAlignment="1">
      <alignment horizontal="left" vertical="center"/>
    </xf>
    <xf numFmtId="9" fontId="31" fillId="9" borderId="0" xfId="4" applyFont="1" applyFill="1" applyAlignment="1">
      <alignment horizontal="right" vertical="center"/>
    </xf>
    <xf numFmtId="0" fontId="31" fillId="9" borderId="0" xfId="0" applyFont="1" applyFill="1" applyAlignment="1">
      <alignment horizontal="left" vertical="center" indent="1"/>
    </xf>
    <xf numFmtId="0" fontId="24" fillId="9" borderId="0" xfId="0" applyFont="1" applyFill="1" applyAlignment="1">
      <alignment horizontal="left" vertical="center" indent="1"/>
    </xf>
    <xf numFmtId="164" fontId="4" fillId="9" borderId="0" xfId="0" applyNumberFormat="1" applyFont="1" applyFill="1" applyAlignment="1">
      <alignment horizontal="right" vertical="center"/>
    </xf>
    <xf numFmtId="0" fontId="4" fillId="9" borderId="0" xfId="0" applyFont="1" applyFill="1" applyAlignment="1">
      <alignment horizontal="left" vertical="center"/>
    </xf>
    <xf numFmtId="0" fontId="32" fillId="9" borderId="0" xfId="0" applyFont="1" applyFill="1" applyAlignment="1">
      <alignment horizontal="left" vertical="center"/>
    </xf>
    <xf numFmtId="9" fontId="4" fillId="9" borderId="0" xfId="4" applyFont="1" applyFill="1" applyAlignment="1">
      <alignment horizontal="right" vertical="center"/>
    </xf>
    <xf numFmtId="9" fontId="32" fillId="9" borderId="0" xfId="4" applyFont="1" applyFill="1" applyAlignment="1">
      <alignment horizontal="right" vertical="center"/>
    </xf>
    <xf numFmtId="164" fontId="4" fillId="9" borderId="4" xfId="0" applyNumberFormat="1" applyFont="1" applyFill="1" applyBorder="1" applyAlignment="1">
      <alignment horizontal="right" vertical="center"/>
    </xf>
    <xf numFmtId="0" fontId="4" fillId="9" borderId="4" xfId="0" applyFont="1" applyFill="1" applyBorder="1" applyAlignment="1">
      <alignment horizontal="left" vertical="center"/>
    </xf>
    <xf numFmtId="0" fontId="12" fillId="9" borderId="0" xfId="0" applyFont="1" applyFill="1"/>
    <xf numFmtId="0" fontId="7" fillId="2" borderId="0" xfId="0" applyFont="1" applyFill="1" applyAlignment="1">
      <alignment horizontal="left" vertical="center"/>
    </xf>
    <xf numFmtId="164" fontId="12" fillId="0" borderId="2" xfId="0" applyNumberFormat="1" applyFont="1" applyBorder="1"/>
    <xf numFmtId="164" fontId="0" fillId="0" borderId="0" xfId="0" applyNumberFormat="1"/>
    <xf numFmtId="164" fontId="12" fillId="0" borderId="0" xfId="0" applyNumberFormat="1" applyFont="1"/>
    <xf numFmtId="17" fontId="0" fillId="0" borderId="0" xfId="0" applyNumberFormat="1"/>
    <xf numFmtId="10" fontId="0" fillId="0" borderId="0" xfId="1" applyNumberFormat="1" applyFont="1"/>
    <xf numFmtId="10" fontId="0" fillId="6" borderId="0" xfId="1" applyNumberFormat="1" applyFont="1" applyFill="1"/>
    <xf numFmtId="0" fontId="11" fillId="2" borderId="0" xfId="0" applyFont="1" applyFill="1" applyAlignment="1">
      <alignment horizontal="right"/>
    </xf>
    <xf numFmtId="10" fontId="12" fillId="5" borderId="0" xfId="0" applyNumberFormat="1" applyFont="1" applyFill="1"/>
    <xf numFmtId="0" fontId="33" fillId="0" borderId="0" xfId="0" applyFont="1"/>
    <xf numFmtId="10" fontId="12" fillId="9" borderId="0" xfId="0" applyNumberFormat="1" applyFont="1" applyFill="1"/>
    <xf numFmtId="17" fontId="6" fillId="0" borderId="0" xfId="0" applyNumberFormat="1" applyFont="1"/>
    <xf numFmtId="0" fontId="6" fillId="0" borderId="0" xfId="0" applyFont="1" applyAlignment="1">
      <alignment horizontal="right"/>
    </xf>
    <xf numFmtId="17" fontId="34" fillId="0" borderId="0" xfId="0" applyNumberFormat="1" applyFont="1"/>
    <xf numFmtId="0" fontId="35" fillId="0" borderId="0" xfId="5"/>
    <xf numFmtId="0" fontId="37" fillId="10" borderId="6" xfId="0" applyFont="1" applyFill="1" applyBorder="1" applyAlignment="1">
      <alignment horizontal="left" vertical="center" wrapText="1" indent="1"/>
    </xf>
    <xf numFmtId="10" fontId="36" fillId="10" borderId="7" xfId="0" applyNumberFormat="1" applyFont="1" applyFill="1" applyBorder="1" applyAlignment="1">
      <alignment horizontal="left" vertical="center" wrapText="1" indent="1"/>
    </xf>
    <xf numFmtId="0" fontId="38" fillId="0" borderId="0" xfId="0" applyFont="1"/>
    <xf numFmtId="0" fontId="0" fillId="5" borderId="0" xfId="0" applyFill="1" applyAlignment="1">
      <alignment horizontal="right"/>
    </xf>
    <xf numFmtId="10" fontId="0" fillId="5" borderId="0" xfId="1" applyNumberFormat="1" applyFont="1" applyFill="1"/>
    <xf numFmtId="10" fontId="0" fillId="9" borderId="0" xfId="1" applyNumberFormat="1" applyFont="1" applyFill="1"/>
    <xf numFmtId="165" fontId="0" fillId="0" borderId="3" xfId="0" applyNumberFormat="1" applyBorder="1"/>
    <xf numFmtId="165" fontId="40" fillId="0" borderId="3" xfId="0" applyNumberFormat="1" applyFont="1" applyBorder="1"/>
    <xf numFmtId="0" fontId="41" fillId="0" borderId="0" xfId="0" applyFont="1"/>
    <xf numFmtId="0" fontId="42" fillId="0" borderId="0" xfId="0" applyFont="1"/>
    <xf numFmtId="0" fontId="27" fillId="11" borderId="0" xfId="0" applyFont="1" applyFill="1"/>
    <xf numFmtId="0" fontId="27" fillId="9" borderId="0" xfId="0" applyFont="1" applyFill="1"/>
    <xf numFmtId="0" fontId="24" fillId="0" borderId="0" xfId="0" applyFont="1"/>
    <xf numFmtId="166" fontId="7" fillId="2" borderId="0" xfId="0" applyNumberFormat="1" applyFont="1" applyFill="1" applyAlignment="1">
      <alignment horizontal="right" vertical="center"/>
    </xf>
    <xf numFmtId="0" fontId="27" fillId="0" borderId="0" xfId="0" applyFont="1"/>
    <xf numFmtId="0" fontId="0" fillId="0" borderId="0" xfId="0" applyAlignment="1">
      <alignment horizontal="left" vertical="center" indent="1"/>
    </xf>
    <xf numFmtId="165" fontId="24" fillId="9" borderId="0" xfId="1" applyNumberFormat="1" applyFont="1" applyFill="1" applyAlignment="1">
      <alignment horizontal="right" vertical="center"/>
    </xf>
    <xf numFmtId="164" fontId="26" fillId="0" borderId="0" xfId="0" applyNumberFormat="1" applyFont="1"/>
    <xf numFmtId="164" fontId="26" fillId="0" borderId="1" xfId="0" applyNumberFormat="1" applyFont="1" applyBorder="1"/>
    <xf numFmtId="164" fontId="40" fillId="0" borderId="1" xfId="0" applyNumberFormat="1" applyFont="1" applyBorder="1"/>
    <xf numFmtId="0" fontId="4" fillId="5" borderId="0" xfId="0" applyFont="1" applyFill="1" applyAlignment="1">
      <alignment horizontal="left" vertical="center"/>
    </xf>
    <xf numFmtId="165" fontId="4" fillId="5" borderId="0" xfId="1" applyNumberFormat="1" applyFont="1" applyFill="1" applyBorder="1" applyAlignment="1">
      <alignment horizontal="right" vertical="center"/>
    </xf>
    <xf numFmtId="165" fontId="4" fillId="9" borderId="0" xfId="4" applyNumberFormat="1" applyFont="1" applyFill="1" applyBorder="1" applyAlignment="1">
      <alignment horizontal="right" vertical="center"/>
    </xf>
    <xf numFmtId="0" fontId="24" fillId="9" borderId="8" xfId="0" applyFont="1" applyFill="1" applyBorder="1" applyAlignment="1">
      <alignment horizontal="left" vertical="center" indent="1"/>
    </xf>
    <xf numFmtId="164" fontId="24" fillId="9" borderId="8" xfId="0" applyNumberFormat="1" applyFont="1" applyFill="1" applyBorder="1" applyAlignment="1">
      <alignment horizontal="right" vertical="center"/>
    </xf>
    <xf numFmtId="0" fontId="24" fillId="9" borderId="0" xfId="0" applyFont="1" applyFill="1" applyAlignment="1">
      <alignment horizontal="left" vertical="center" indent="2"/>
    </xf>
    <xf numFmtId="0" fontId="16" fillId="9" borderId="0" xfId="0" applyFont="1" applyFill="1"/>
    <xf numFmtId="0" fontId="16" fillId="11" borderId="0" xfId="0" applyFont="1" applyFill="1"/>
    <xf numFmtId="0" fontId="45" fillId="9" borderId="0" xfId="0" applyFont="1" applyFill="1"/>
    <xf numFmtId="0" fontId="46" fillId="0" borderId="0" xfId="0" applyFont="1"/>
    <xf numFmtId="165" fontId="4" fillId="5" borderId="0" xfId="1" applyNumberFormat="1" applyFont="1" applyFill="1" applyAlignment="1">
      <alignment horizontal="right" vertical="center"/>
    </xf>
    <xf numFmtId="0" fontId="24" fillId="5" borderId="0" xfId="0" applyFont="1" applyFill="1" applyAlignment="1">
      <alignment horizontal="left" vertical="center"/>
    </xf>
    <xf numFmtId="165" fontId="24" fillId="5" borderId="0" xfId="1" applyNumberFormat="1" applyFont="1" applyFill="1" applyBorder="1" applyAlignment="1">
      <alignment horizontal="right" vertical="center"/>
    </xf>
    <xf numFmtId="0" fontId="0" fillId="0" borderId="0" xfId="0" applyAlignment="1">
      <alignment vertical="center" wrapText="1"/>
    </xf>
    <xf numFmtId="0" fontId="0" fillId="6" borderId="0" xfId="0" applyFill="1" applyAlignment="1">
      <alignment vertical="center" wrapText="1"/>
    </xf>
    <xf numFmtId="0" fontId="11" fillId="2" borderId="0" xfId="0" applyFont="1" applyFill="1" applyAlignment="1">
      <alignment horizontal="center" vertical="center" wrapText="1"/>
    </xf>
    <xf numFmtId="0" fontId="0" fillId="12" borderId="0" xfId="0" applyFill="1"/>
    <xf numFmtId="0" fontId="11" fillId="0" borderId="0" xfId="0" applyFont="1"/>
    <xf numFmtId="10" fontId="0" fillId="5" borderId="0" xfId="0" applyNumberFormat="1" applyFill="1"/>
    <xf numFmtId="0" fontId="12" fillId="13" borderId="0" xfId="0" applyFont="1" applyFill="1"/>
    <xf numFmtId="9" fontId="0" fillId="0" borderId="0" xfId="1" applyFont="1"/>
    <xf numFmtId="0" fontId="16" fillId="0" borderId="0" xfId="0" applyFont="1"/>
    <xf numFmtId="164" fontId="12" fillId="0" borderId="4" xfId="0" applyNumberFormat="1" applyFont="1" applyBorder="1"/>
    <xf numFmtId="164" fontId="17" fillId="0" borderId="0" xfId="0" applyNumberFormat="1" applyFont="1"/>
    <xf numFmtId="164" fontId="0" fillId="6" borderId="0" xfId="1" applyNumberFormat="1" applyFont="1" applyFill="1" applyAlignment="1">
      <alignment horizontal="right"/>
    </xf>
    <xf numFmtId="164" fontId="11" fillId="2" borderId="0" xfId="0" applyNumberFormat="1" applyFont="1" applyFill="1"/>
    <xf numFmtId="164" fontId="5" fillId="0" borderId="0" xfId="2" applyNumberFormat="1" applyFont="1"/>
    <xf numFmtId="164" fontId="0" fillId="6" borderId="0" xfId="0" applyNumberFormat="1" applyFill="1"/>
    <xf numFmtId="0" fontId="0" fillId="7" borderId="0" xfId="0" applyFill="1"/>
    <xf numFmtId="0" fontId="24" fillId="0" borderId="0" xfId="0" applyFont="1" applyAlignment="1">
      <alignment horizontal="right" vertical="center"/>
    </xf>
    <xf numFmtId="0" fontId="24" fillId="0" borderId="0" xfId="0" applyFont="1" applyAlignment="1">
      <alignment horizontal="left" vertical="center" indent="1"/>
    </xf>
    <xf numFmtId="0" fontId="4" fillId="5" borderId="0" xfId="0" applyFont="1" applyFill="1" applyAlignment="1">
      <alignment horizontal="left" vertical="center" indent="1"/>
    </xf>
    <xf numFmtId="165" fontId="4" fillId="9" borderId="2" xfId="1" applyNumberFormat="1" applyFont="1" applyFill="1" applyBorder="1" applyAlignment="1">
      <alignment horizontal="right" vertical="center"/>
    </xf>
    <xf numFmtId="165" fontId="4" fillId="9" borderId="0" xfId="1" applyNumberFormat="1" applyFont="1" applyFill="1" applyBorder="1" applyAlignment="1">
      <alignment horizontal="right" vertical="center"/>
    </xf>
    <xf numFmtId="164" fontId="32" fillId="6" borderId="0" xfId="3" applyNumberFormat="1" applyFont="1" applyFill="1" applyAlignment="1">
      <alignment vertical="center"/>
    </xf>
    <xf numFmtId="0" fontId="22" fillId="6" borderId="0" xfId="0" applyFont="1" applyFill="1"/>
    <xf numFmtId="165" fontId="50" fillId="6" borderId="0" xfId="1" applyNumberFormat="1" applyFont="1" applyFill="1" applyBorder="1"/>
    <xf numFmtId="0" fontId="4" fillId="0" borderId="0" xfId="0" applyFont="1" applyAlignment="1">
      <alignment horizontal="left" vertical="center" indent="1"/>
    </xf>
    <xf numFmtId="165" fontId="4" fillId="0" borderId="0" xfId="1" applyNumberFormat="1" applyFont="1" applyFill="1" applyAlignment="1">
      <alignment horizontal="right" vertical="center"/>
    </xf>
    <xf numFmtId="165" fontId="4" fillId="5" borderId="2" xfId="1" applyNumberFormat="1" applyFont="1" applyFill="1" applyBorder="1" applyAlignment="1">
      <alignment horizontal="right" vertical="center"/>
    </xf>
    <xf numFmtId="164" fontId="40" fillId="0" borderId="0" xfId="0" applyNumberFormat="1" applyFont="1"/>
    <xf numFmtId="0" fontId="51" fillId="14" borderId="0" xfId="0" applyFont="1" applyFill="1" applyAlignment="1">
      <alignment horizontal="left" vertical="center"/>
    </xf>
    <xf numFmtId="17" fontId="51" fillId="14" borderId="0" xfId="0" applyNumberFormat="1" applyFont="1" applyFill="1" applyAlignment="1">
      <alignment horizontal="right" vertical="center"/>
    </xf>
    <xf numFmtId="0" fontId="52" fillId="8" borderId="0" xfId="0" applyFont="1" applyFill="1" applyAlignment="1">
      <alignment horizontal="left" vertical="center"/>
    </xf>
    <xf numFmtId="0" fontId="52" fillId="7" borderId="0" xfId="0" applyFont="1" applyFill="1" applyAlignment="1">
      <alignment horizontal="left" vertical="center"/>
    </xf>
    <xf numFmtId="0" fontId="4" fillId="7" borderId="2" xfId="0" applyFont="1" applyFill="1" applyBorder="1" applyAlignment="1">
      <alignment horizontal="left" vertical="center"/>
    </xf>
    <xf numFmtId="3" fontId="4" fillId="7" borderId="2" xfId="0" applyNumberFormat="1" applyFont="1" applyFill="1" applyBorder="1" applyAlignment="1">
      <alignment horizontal="right" vertical="center"/>
    </xf>
    <xf numFmtId="0" fontId="52" fillId="8" borderId="0" xfId="0" applyFont="1" applyFill="1" applyAlignment="1">
      <alignment horizontal="left" vertical="center" indent="1"/>
    </xf>
    <xf numFmtId="0" fontId="24" fillId="7" borderId="0" xfId="0" applyFont="1" applyFill="1" applyAlignment="1">
      <alignment horizontal="left" vertical="center" indent="2"/>
    </xf>
    <xf numFmtId="0" fontId="52" fillId="15" borderId="0" xfId="0" applyFont="1" applyFill="1" applyAlignment="1">
      <alignment horizontal="left" vertical="center"/>
    </xf>
    <xf numFmtId="0" fontId="24" fillId="0" borderId="0" xfId="0" applyFont="1" applyAlignment="1">
      <alignment horizontal="left" vertical="center" indent="2"/>
    </xf>
    <xf numFmtId="164" fontId="24" fillId="9" borderId="0" xfId="0" applyNumberFormat="1" applyFont="1" applyFill="1" applyAlignment="1">
      <alignment horizontal="left" vertical="center"/>
    </xf>
    <xf numFmtId="165" fontId="22" fillId="0" borderId="0" xfId="1" applyNumberFormat="1" applyFont="1"/>
    <xf numFmtId="9" fontId="24" fillId="9" borderId="0" xfId="1" applyFont="1" applyFill="1" applyAlignment="1">
      <alignment horizontal="right" vertical="center"/>
    </xf>
    <xf numFmtId="9" fontId="4" fillId="9" borderId="2" xfId="1" applyFont="1" applyFill="1" applyBorder="1" applyAlignment="1">
      <alignment horizontal="right" vertical="center"/>
    </xf>
    <xf numFmtId="0" fontId="53" fillId="0" borderId="0" xfId="0" applyFont="1"/>
    <xf numFmtId="2" fontId="12" fillId="0" borderId="0" xfId="1" applyNumberFormat="1" applyFont="1" applyFill="1"/>
    <xf numFmtId="173" fontId="12" fillId="0" borderId="0" xfId="0" applyNumberFormat="1" applyFont="1"/>
    <xf numFmtId="1" fontId="0" fillId="0" borderId="0" xfId="0" applyNumberFormat="1"/>
    <xf numFmtId="1" fontId="12" fillId="0" borderId="0" xfId="0" applyNumberFormat="1" applyFont="1"/>
    <xf numFmtId="0" fontId="54" fillId="0" borderId="0" xfId="0" applyFont="1" applyAlignment="1">
      <alignment horizontal="left"/>
    </xf>
    <xf numFmtId="0" fontId="55" fillId="7" borderId="0" xfId="0" applyFont="1" applyFill="1" applyAlignment="1">
      <alignment horizontal="right" vertical="center" wrapText="1"/>
    </xf>
    <xf numFmtId="1" fontId="12" fillId="6" borderId="0" xfId="0" applyNumberFormat="1" applyFont="1" applyFill="1"/>
    <xf numFmtId="165" fontId="22" fillId="0" borderId="0" xfId="1" applyNumberFormat="1" applyFont="1" applyFill="1"/>
    <xf numFmtId="1" fontId="12" fillId="5" borderId="0" xfId="0" applyNumberFormat="1" applyFont="1" applyFill="1"/>
    <xf numFmtId="2" fontId="12" fillId="5" borderId="0" xfId="0" applyNumberFormat="1" applyFont="1" applyFill="1"/>
    <xf numFmtId="173" fontId="12" fillId="5" borderId="0" xfId="0" applyNumberFormat="1" applyFont="1" applyFill="1"/>
    <xf numFmtId="1" fontId="19" fillId="6" borderId="0" xfId="0" applyNumberFormat="1" applyFont="1" applyFill="1"/>
    <xf numFmtId="1" fontId="49" fillId="6" borderId="0" xfId="0" applyNumberFormat="1" applyFont="1" applyFill="1"/>
    <xf numFmtId="0" fontId="53" fillId="16" borderId="0" xfId="0" applyFont="1" applyFill="1"/>
    <xf numFmtId="2" fontId="4" fillId="5" borderId="0" xfId="1" applyNumberFormat="1" applyFont="1" applyFill="1" applyAlignment="1">
      <alignment horizontal="right" vertical="center"/>
    </xf>
    <xf numFmtId="0" fontId="0" fillId="0" borderId="0" xfId="0" applyAlignment="1">
      <alignment horizontal="left"/>
    </xf>
    <xf numFmtId="171" fontId="12" fillId="5" borderId="0" xfId="0" applyNumberFormat="1" applyFont="1" applyFill="1"/>
    <xf numFmtId="174" fontId="12" fillId="0" borderId="0" xfId="0" applyNumberFormat="1" applyFont="1"/>
    <xf numFmtId="171" fontId="12" fillId="0" borderId="0" xfId="0" applyNumberFormat="1" applyFont="1"/>
    <xf numFmtId="0" fontId="0" fillId="0" borderId="9" xfId="0" applyBorder="1"/>
    <xf numFmtId="1" fontId="0" fillId="0" borderId="9" xfId="0" applyNumberFormat="1" applyBorder="1"/>
    <xf numFmtId="164" fontId="31" fillId="9" borderId="0" xfId="0" applyNumberFormat="1" applyFont="1" applyFill="1" applyAlignment="1">
      <alignment horizontal="left" vertical="center"/>
    </xf>
    <xf numFmtId="165" fontId="19" fillId="6" borderId="0" xfId="0" applyNumberFormat="1" applyFont="1" applyFill="1"/>
    <xf numFmtId="3" fontId="0" fillId="0" borderId="0" xfId="0" applyNumberFormat="1"/>
    <xf numFmtId="3" fontId="12" fillId="0" borderId="0" xfId="0" applyNumberFormat="1" applyFont="1"/>
    <xf numFmtId="0" fontId="24" fillId="7" borderId="0" xfId="0" applyFont="1" applyFill="1" applyAlignment="1">
      <alignment horizontal="left" vertical="center" indent="1"/>
    </xf>
    <xf numFmtId="3" fontId="12" fillId="0" borderId="2" xfId="0" applyNumberFormat="1" applyFont="1" applyBorder="1"/>
    <xf numFmtId="165" fontId="22" fillId="6" borderId="0" xfId="1" applyNumberFormat="1" applyFont="1" applyFill="1"/>
    <xf numFmtId="0" fontId="50" fillId="6" borderId="0" xfId="0" applyFont="1" applyFill="1"/>
    <xf numFmtId="165" fontId="50" fillId="6" borderId="0" xfId="1" applyNumberFormat="1" applyFont="1" applyFill="1"/>
    <xf numFmtId="171" fontId="50" fillId="6" borderId="0" xfId="1" applyNumberFormat="1" applyFont="1" applyFill="1"/>
    <xf numFmtId="171" fontId="4" fillId="5" borderId="0" xfId="1" applyNumberFormat="1" applyFont="1" applyFill="1" applyAlignment="1">
      <alignment horizontal="right" vertical="center"/>
    </xf>
    <xf numFmtId="0" fontId="56" fillId="0" borderId="0" xfId="0" applyFont="1" applyAlignment="1">
      <alignment vertical="top"/>
    </xf>
    <xf numFmtId="0" fontId="0" fillId="6" borderId="0" xfId="0" applyFill="1" applyAlignment="1">
      <alignment vertical="top"/>
    </xf>
    <xf numFmtId="1" fontId="24" fillId="8" borderId="0" xfId="0" applyNumberFormat="1" applyFont="1" applyFill="1" applyAlignment="1">
      <alignment horizontal="right" vertical="center"/>
    </xf>
    <xf numFmtId="0" fontId="24" fillId="8" borderId="0" xfId="0" applyFont="1" applyFill="1" applyAlignment="1">
      <alignment horizontal="left" vertical="center" indent="1"/>
    </xf>
    <xf numFmtId="1" fontId="52" fillId="8" borderId="0" xfId="0" applyNumberFormat="1" applyFont="1" applyFill="1" applyAlignment="1">
      <alignment horizontal="right" vertical="center"/>
    </xf>
    <xf numFmtId="1" fontId="24" fillId="7" borderId="0" xfId="0" applyNumberFormat="1" applyFont="1" applyFill="1" applyAlignment="1">
      <alignment horizontal="right" vertical="center"/>
    </xf>
    <xf numFmtId="1" fontId="52" fillId="7" borderId="0" xfId="0" applyNumberFormat="1" applyFont="1" applyFill="1" applyAlignment="1">
      <alignment horizontal="right" vertical="center"/>
    </xf>
    <xf numFmtId="1" fontId="52" fillId="15" borderId="0" xfId="0" applyNumberFormat="1" applyFont="1" applyFill="1" applyAlignment="1">
      <alignment horizontal="right" vertical="center"/>
    </xf>
    <xf numFmtId="1" fontId="24" fillId="0" borderId="0" xfId="0" applyNumberFormat="1" applyFont="1" applyAlignment="1">
      <alignment horizontal="right" vertical="center"/>
    </xf>
    <xf numFmtId="1" fontId="4" fillId="7" borderId="2" xfId="0" applyNumberFormat="1" applyFont="1" applyFill="1" applyBorder="1" applyAlignment="1">
      <alignment horizontal="right" vertical="center"/>
    </xf>
    <xf numFmtId="1" fontId="28" fillId="0" borderId="0" xfId="0" applyNumberFormat="1" applyFont="1"/>
    <xf numFmtId="3" fontId="0" fillId="0" borderId="4" xfId="0" applyNumberFormat="1" applyBorder="1"/>
    <xf numFmtId="9" fontId="4" fillId="5" borderId="0" xfId="1" applyFont="1" applyFill="1" applyAlignment="1">
      <alignment horizontal="right" vertical="center"/>
    </xf>
    <xf numFmtId="9" fontId="0" fillId="6" borderId="0" xfId="1" applyFont="1" applyFill="1"/>
    <xf numFmtId="1" fontId="0" fillId="6" borderId="0" xfId="0" applyNumberFormat="1" applyFill="1"/>
    <xf numFmtId="1" fontId="4" fillId="5" borderId="0" xfId="1" applyNumberFormat="1" applyFont="1" applyFill="1" applyAlignment="1">
      <alignment horizontal="right" vertical="center"/>
    </xf>
    <xf numFmtId="9" fontId="22" fillId="0" borderId="0" xfId="1" applyFont="1" applyBorder="1"/>
    <xf numFmtId="9" fontId="12" fillId="5" borderId="0" xfId="0" applyNumberFormat="1" applyFont="1" applyFill="1"/>
    <xf numFmtId="9" fontId="22" fillId="0" borderId="0" xfId="0" applyNumberFormat="1" applyFont="1"/>
    <xf numFmtId="9" fontId="22" fillId="5" borderId="0" xfId="0" applyNumberFormat="1" applyFont="1" applyFill="1"/>
    <xf numFmtId="1" fontId="12" fillId="0" borderId="4" xfId="0" applyNumberFormat="1" applyFont="1" applyBorder="1"/>
    <xf numFmtId="164" fontId="31" fillId="0" borderId="0" xfId="3" applyNumberFormat="1" applyFont="1" applyAlignment="1">
      <alignment horizontal="left" vertical="center"/>
    </xf>
    <xf numFmtId="165" fontId="22" fillId="0" borderId="0" xfId="1" applyNumberFormat="1" applyFont="1" applyBorder="1"/>
    <xf numFmtId="164" fontId="24" fillId="0" borderId="0" xfId="3" applyNumberFormat="1" applyFont="1" applyAlignment="1">
      <alignment horizontal="left" vertical="top" indent="1"/>
    </xf>
    <xf numFmtId="164" fontId="24" fillId="9" borderId="0" xfId="3" applyNumberFormat="1" applyFont="1" applyFill="1" applyAlignment="1">
      <alignment horizontal="left" vertical="center" indent="1"/>
    </xf>
    <xf numFmtId="0" fontId="52" fillId="0" borderId="0" xfId="0" applyFont="1" applyAlignment="1">
      <alignment horizontal="left" vertical="center" indent="1"/>
    </xf>
    <xf numFmtId="1" fontId="52" fillId="0" borderId="0" xfId="0" applyNumberFormat="1" applyFont="1" applyAlignment="1">
      <alignment horizontal="right" vertical="center"/>
    </xf>
    <xf numFmtId="0" fontId="24" fillId="15" borderId="0" xfId="0" applyFont="1" applyFill="1" applyAlignment="1">
      <alignment horizontal="left" vertical="center" indent="1"/>
    </xf>
    <xf numFmtId="0" fontId="57" fillId="0" borderId="0" xfId="0" applyFont="1"/>
    <xf numFmtId="1" fontId="57" fillId="0" borderId="0" xfId="0" applyNumberFormat="1" applyFont="1"/>
    <xf numFmtId="165" fontId="57" fillId="0" borderId="0" xfId="1" applyNumberFormat="1" applyFont="1"/>
    <xf numFmtId="0" fontId="54" fillId="0" borderId="0" xfId="0" applyFont="1"/>
    <xf numFmtId="165" fontId="54" fillId="0" borderId="0" xfId="1" applyNumberFormat="1" applyFont="1"/>
    <xf numFmtId="173" fontId="0" fillId="5" borderId="0" xfId="1" applyNumberFormat="1" applyFont="1" applyFill="1"/>
    <xf numFmtId="173" fontId="12" fillId="5" borderId="0" xfId="1" applyNumberFormat="1" applyFont="1" applyFill="1"/>
    <xf numFmtId="170" fontId="19" fillId="6" borderId="0" xfId="0" applyNumberFormat="1" applyFont="1" applyFill="1"/>
    <xf numFmtId="165" fontId="58" fillId="0" borderId="0" xfId="1" applyNumberFormat="1" applyFont="1"/>
    <xf numFmtId="2" fontId="12" fillId="0" borderId="4" xfId="0" applyNumberFormat="1" applyFont="1" applyBorder="1"/>
    <xf numFmtId="9" fontId="57" fillId="0" borderId="0" xfId="0" applyNumberFormat="1" applyFont="1"/>
    <xf numFmtId="0" fontId="50" fillId="5" borderId="0" xfId="0" applyFont="1" applyFill="1"/>
    <xf numFmtId="165" fontId="50" fillId="5" borderId="0" xfId="1" applyNumberFormat="1" applyFont="1" applyFill="1" applyBorder="1"/>
    <xf numFmtId="165" fontId="12" fillId="5" borderId="0" xfId="0" applyNumberFormat="1" applyFont="1" applyFill="1"/>
    <xf numFmtId="9" fontId="12" fillId="0" borderId="0" xfId="1" applyFont="1" applyBorder="1"/>
    <xf numFmtId="1" fontId="12" fillId="0" borderId="2" xfId="0" applyNumberFormat="1" applyFont="1" applyBorder="1"/>
    <xf numFmtId="164" fontId="28" fillId="0" borderId="0" xfId="0" applyNumberFormat="1" applyFont="1"/>
    <xf numFmtId="0" fontId="28" fillId="0" borderId="0" xfId="0" applyFont="1"/>
    <xf numFmtId="9" fontId="0" fillId="6" borderId="0" xfId="1" applyFont="1" applyFill="1" applyAlignment="1">
      <alignment horizontal="right"/>
    </xf>
    <xf numFmtId="0" fontId="0" fillId="0" borderId="10" xfId="0" applyBorder="1"/>
    <xf numFmtId="0" fontId="50" fillId="0" borderId="0" xfId="0" applyFont="1"/>
    <xf numFmtId="164" fontId="58" fillId="0" borderId="0" xfId="0" applyNumberFormat="1" applyFont="1"/>
    <xf numFmtId="9" fontId="58" fillId="0" borderId="0" xfId="1" applyFont="1" applyBorder="1"/>
    <xf numFmtId="9" fontId="59" fillId="0" borderId="0" xfId="1" applyFont="1" applyBorder="1"/>
    <xf numFmtId="0" fontId="60" fillId="0" borderId="0" xfId="0" applyFont="1"/>
    <xf numFmtId="165" fontId="22" fillId="0" borderId="0" xfId="0" applyNumberFormat="1" applyFont="1"/>
    <xf numFmtId="165" fontId="26" fillId="0" borderId="3" xfId="1" applyNumberFormat="1" applyFont="1" applyBorder="1"/>
    <xf numFmtId="165" fontId="21" fillId="6" borderId="0" xfId="1" applyNumberFormat="1" applyFont="1" applyFill="1"/>
    <xf numFmtId="165" fontId="21" fillId="6" borderId="0" xfId="0" applyNumberFormat="1" applyFont="1" applyFill="1"/>
    <xf numFmtId="0" fontId="20" fillId="9" borderId="0" xfId="0" applyFont="1" applyFill="1"/>
    <xf numFmtId="0" fontId="52" fillId="9" borderId="0" xfId="0" applyFont="1" applyFill="1" applyAlignment="1">
      <alignment horizontal="left" vertical="center" indent="1"/>
    </xf>
    <xf numFmtId="164" fontId="49" fillId="0" borderId="4" xfId="0" applyNumberFormat="1" applyFont="1" applyBorder="1"/>
    <xf numFmtId="175" fontId="17" fillId="0" borderId="5" xfId="0" applyNumberFormat="1" applyFont="1" applyBorder="1" applyAlignment="1">
      <alignment horizontal="center"/>
    </xf>
    <xf numFmtId="164" fontId="12" fillId="9" borderId="4" xfId="0" applyNumberFormat="1" applyFont="1" applyFill="1" applyBorder="1"/>
    <xf numFmtId="164" fontId="12" fillId="9" borderId="0" xfId="0" applyNumberFormat="1" applyFont="1" applyFill="1"/>
    <xf numFmtId="165" fontId="22" fillId="9" borderId="0" xfId="1" applyNumberFormat="1" applyFont="1" applyFill="1" applyBorder="1"/>
    <xf numFmtId="164" fontId="26" fillId="9" borderId="0" xfId="0" applyNumberFormat="1" applyFont="1" applyFill="1"/>
    <xf numFmtId="164" fontId="0" fillId="9" borderId="0" xfId="0" applyNumberFormat="1" applyFill="1"/>
    <xf numFmtId="164" fontId="12" fillId="9" borderId="2" xfId="0" applyNumberFormat="1" applyFont="1" applyFill="1" applyBorder="1"/>
    <xf numFmtId="0" fontId="8" fillId="0" borderId="4" xfId="2" applyFont="1" applyBorder="1"/>
    <xf numFmtId="165" fontId="12" fillId="9" borderId="4" xfId="1" applyNumberFormat="1" applyFont="1" applyFill="1" applyBorder="1"/>
    <xf numFmtId="165" fontId="26" fillId="9" borderId="0" xfId="1" applyNumberFormat="1" applyFont="1" applyFill="1"/>
    <xf numFmtId="165" fontId="0" fillId="9" borderId="0" xfId="1" applyNumberFormat="1" applyFont="1" applyFill="1"/>
    <xf numFmtId="165" fontId="12" fillId="9" borderId="2" xfId="1" applyNumberFormat="1" applyFont="1" applyFill="1" applyBorder="1"/>
    <xf numFmtId="165" fontId="17" fillId="0" borderId="0" xfId="1" applyNumberFormat="1" applyFont="1"/>
    <xf numFmtId="165" fontId="26" fillId="0" borderId="1" xfId="1" applyNumberFormat="1" applyFont="1" applyBorder="1"/>
    <xf numFmtId="165" fontId="5" fillId="0" borderId="0" xfId="1" applyNumberFormat="1" applyFont="1"/>
    <xf numFmtId="165" fontId="40" fillId="0" borderId="0" xfId="1" applyNumberFormat="1" applyFont="1"/>
    <xf numFmtId="165" fontId="0" fillId="5" borderId="0" xfId="0" applyNumberFormat="1" applyFill="1"/>
    <xf numFmtId="0" fontId="11" fillId="2" borderId="0" xfId="0" applyFont="1" applyFill="1" applyAlignment="1">
      <alignment horizontal="center"/>
    </xf>
    <xf numFmtId="0" fontId="61" fillId="0" borderId="0" xfId="0" applyFont="1"/>
    <xf numFmtId="0" fontId="62" fillId="0" borderId="0" xfId="0" applyFont="1"/>
    <xf numFmtId="0" fontId="63" fillId="0" borderId="5" xfId="0" applyFont="1" applyBorder="1" applyAlignment="1">
      <alignment horizontal="centerContinuous"/>
    </xf>
    <xf numFmtId="0" fontId="63" fillId="0" borderId="5" xfId="0" applyFont="1" applyBorder="1"/>
    <xf numFmtId="0" fontId="63" fillId="0" borderId="5" xfId="0" applyFont="1" applyBorder="1" applyAlignment="1">
      <alignment horizontal="center"/>
    </xf>
    <xf numFmtId="0" fontId="64" fillId="0" borderId="5" xfId="0" applyFont="1" applyBorder="1" applyAlignment="1">
      <alignment horizontal="center"/>
    </xf>
    <xf numFmtId="10" fontId="5" fillId="0" borderId="12" xfId="1" applyNumberFormat="1" applyFont="1" applyBorder="1" applyAlignment="1">
      <alignment horizontal="center"/>
    </xf>
    <xf numFmtId="2" fontId="64" fillId="0" borderId="5" xfId="0" applyNumberFormat="1" applyFont="1" applyBorder="1" applyAlignment="1">
      <alignment horizontal="center"/>
    </xf>
    <xf numFmtId="0" fontId="61" fillId="0" borderId="0" xfId="0" applyFont="1" applyAlignment="1">
      <alignment horizontal="center"/>
    </xf>
    <xf numFmtId="0" fontId="62" fillId="0" borderId="0" xfId="0" applyFont="1" applyAlignment="1">
      <alignment horizontal="center"/>
    </xf>
    <xf numFmtId="0" fontId="12" fillId="5" borderId="13" xfId="0" applyFont="1" applyFill="1" applyBorder="1"/>
    <xf numFmtId="0" fontId="0" fillId="0" borderId="0" xfId="0" applyAlignment="1">
      <alignment horizontal="center"/>
    </xf>
    <xf numFmtId="10" fontId="0" fillId="0" borderId="9" xfId="0" applyNumberFormat="1" applyBorder="1" applyAlignment="1">
      <alignment horizontal="center"/>
    </xf>
    <xf numFmtId="10" fontId="12" fillId="5" borderId="13" xfId="0" applyNumberFormat="1" applyFont="1" applyFill="1" applyBorder="1" applyAlignment="1">
      <alignment horizontal="center"/>
    </xf>
    <xf numFmtId="10" fontId="0" fillId="0" borderId="9" xfId="1" applyNumberFormat="1" applyFont="1" applyBorder="1" applyAlignment="1">
      <alignment horizontal="center"/>
    </xf>
    <xf numFmtId="0" fontId="65" fillId="0" borderId="0" xfId="0" applyFont="1"/>
    <xf numFmtId="10" fontId="0" fillId="0" borderId="0" xfId="0" applyNumberFormat="1" applyAlignment="1">
      <alignment horizontal="center"/>
    </xf>
    <xf numFmtId="10" fontId="0" fillId="0" borderId="0" xfId="1" applyNumberFormat="1" applyFont="1" applyAlignment="1">
      <alignment horizontal="center"/>
    </xf>
    <xf numFmtId="0" fontId="11" fillId="2" borderId="0" xfId="0" applyFont="1" applyFill="1" applyAlignment="1">
      <alignment horizontal="center" vertical="top" wrapText="1"/>
    </xf>
    <xf numFmtId="0" fontId="11" fillId="2" borderId="0" xfId="0" applyFont="1" applyFill="1" applyAlignment="1">
      <alignment horizontal="left" vertical="top" wrapText="1"/>
    </xf>
    <xf numFmtId="2" fontId="0" fillId="0" borderId="9" xfId="0" applyNumberFormat="1" applyBorder="1" applyAlignment="1">
      <alignment horizontal="center"/>
    </xf>
    <xf numFmtId="2" fontId="0" fillId="0" borderId="0" xfId="0" applyNumberFormat="1" applyAlignment="1">
      <alignment horizontal="center"/>
    </xf>
    <xf numFmtId="4" fontId="0" fillId="0" borderId="0" xfId="0" applyNumberFormat="1"/>
    <xf numFmtId="2" fontId="0" fillId="0" borderId="0" xfId="0" applyNumberFormat="1"/>
    <xf numFmtId="9" fontId="19" fillId="5" borderId="0" xfId="0" applyNumberFormat="1" applyFont="1" applyFill="1"/>
    <xf numFmtId="3" fontId="0" fillId="0" borderId="9" xfId="0" applyNumberFormat="1" applyBorder="1"/>
    <xf numFmtId="2" fontId="0" fillId="0" borderId="9" xfId="0" applyNumberFormat="1" applyBorder="1"/>
    <xf numFmtId="10" fontId="0" fillId="0" borderId="9" xfId="0" applyNumberFormat="1" applyBorder="1"/>
    <xf numFmtId="9" fontId="0" fillId="0" borderId="9" xfId="0" applyNumberFormat="1" applyBorder="1"/>
    <xf numFmtId="4" fontId="0" fillId="0" borderId="9" xfId="0" applyNumberFormat="1" applyBorder="1"/>
    <xf numFmtId="10" fontId="0" fillId="0" borderId="9" xfId="1" applyNumberFormat="1" applyFont="1" applyBorder="1"/>
    <xf numFmtId="0" fontId="66" fillId="0" borderId="0" xfId="0" applyFont="1"/>
    <xf numFmtId="10" fontId="19" fillId="5" borderId="0" xfId="0" applyNumberFormat="1" applyFont="1" applyFill="1"/>
    <xf numFmtId="0" fontId="33" fillId="0" borderId="0" xfId="0" applyFont="1" applyAlignment="1">
      <alignment vertical="top"/>
    </xf>
    <xf numFmtId="0" fontId="67" fillId="0" borderId="0" xfId="0" applyFont="1" applyAlignment="1">
      <alignment horizontal="left"/>
    </xf>
    <xf numFmtId="0" fontId="0" fillId="0" borderId="0" xfId="0" applyAlignment="1">
      <alignment vertical="top" wrapText="1"/>
    </xf>
    <xf numFmtId="10" fontId="17" fillId="0" borderId="9" xfId="1" applyNumberFormat="1" applyFont="1" applyBorder="1" applyAlignment="1">
      <alignment horizontal="center"/>
    </xf>
    <xf numFmtId="166" fontId="21" fillId="0" borderId="1" xfId="0" applyNumberFormat="1" applyFont="1" applyBorder="1"/>
    <xf numFmtId="0" fontId="22" fillId="0" borderId="0" xfId="0" applyFont="1" applyAlignment="1">
      <alignment horizontal="left" indent="2"/>
    </xf>
    <xf numFmtId="171" fontId="22" fillId="0" borderId="0" xfId="0" applyNumberFormat="1" applyFont="1"/>
    <xf numFmtId="164" fontId="0" fillId="0" borderId="1" xfId="0" applyNumberFormat="1" applyBorder="1"/>
    <xf numFmtId="0" fontId="29" fillId="0" borderId="0" xfId="10" applyFont="1"/>
    <xf numFmtId="0" fontId="29" fillId="0" borderId="0" xfId="10" applyFont="1" applyAlignment="1">
      <alignment horizontal="right"/>
    </xf>
    <xf numFmtId="0" fontId="69" fillId="0" borderId="0" xfId="10" applyFont="1"/>
    <xf numFmtId="0" fontId="2" fillId="0" borderId="0" xfId="10" applyFont="1"/>
    <xf numFmtId="2" fontId="70" fillId="0" borderId="5" xfId="10" applyNumberFormat="1" applyFont="1" applyBorder="1" applyAlignment="1">
      <alignment horizontal="right"/>
    </xf>
    <xf numFmtId="0" fontId="68" fillId="0" borderId="0" xfId="10"/>
    <xf numFmtId="2" fontId="70" fillId="0" borderId="5" xfId="11" applyNumberFormat="1" applyFont="1" applyFill="1" applyBorder="1" applyAlignment="1">
      <alignment horizontal="right"/>
    </xf>
    <xf numFmtId="10" fontId="70" fillId="0" borderId="5" xfId="12" applyNumberFormat="1" applyFont="1" applyFill="1" applyBorder="1" applyAlignment="1">
      <alignment horizontal="right"/>
    </xf>
    <xf numFmtId="10" fontId="70" fillId="0" borderId="5" xfId="10" applyNumberFormat="1" applyFont="1" applyBorder="1" applyAlignment="1">
      <alignment horizontal="right"/>
    </xf>
    <xf numFmtId="0" fontId="71" fillId="0" borderId="0" xfId="10" applyFont="1"/>
    <xf numFmtId="0" fontId="72" fillId="0" borderId="0" xfId="10" applyFont="1"/>
    <xf numFmtId="0" fontId="73" fillId="0" borderId="0" xfId="10" applyFont="1"/>
    <xf numFmtId="0" fontId="74" fillId="0" borderId="0" xfId="10" applyFont="1"/>
    <xf numFmtId="2" fontId="29" fillId="0" borderId="5" xfId="10" applyNumberFormat="1" applyFont="1" applyBorder="1" applyAlignment="1">
      <alignment horizontal="right"/>
    </xf>
    <xf numFmtId="2" fontId="2" fillId="0" borderId="5" xfId="10" applyNumberFormat="1" applyFont="1" applyBorder="1"/>
    <xf numFmtId="10" fontId="29" fillId="0" borderId="0" xfId="10" applyNumberFormat="1" applyFont="1"/>
    <xf numFmtId="10" fontId="29" fillId="0" borderId="5" xfId="10" applyNumberFormat="1" applyFont="1" applyBorder="1"/>
    <xf numFmtId="179" fontId="29" fillId="0" borderId="5" xfId="13" applyNumberFormat="1" applyFont="1" applyBorder="1"/>
    <xf numFmtId="10" fontId="2" fillId="0" borderId="5" xfId="10" applyNumberFormat="1" applyFont="1" applyBorder="1"/>
    <xf numFmtId="2" fontId="2" fillId="0" borderId="5" xfId="10" applyNumberFormat="1" applyFont="1" applyBorder="1" applyAlignment="1">
      <alignment horizontal="right"/>
    </xf>
    <xf numFmtId="0" fontId="2" fillId="0" borderId="0" xfId="10" applyFont="1" applyAlignment="1">
      <alignment horizontal="right"/>
    </xf>
    <xf numFmtId="2" fontId="2" fillId="0" borderId="14" xfId="11" applyNumberFormat="1" applyFont="1" applyBorder="1" applyAlignment="1">
      <alignment horizontal="right"/>
    </xf>
    <xf numFmtId="176" fontId="2" fillId="0" borderId="0" xfId="10" applyNumberFormat="1" applyFont="1"/>
    <xf numFmtId="177" fontId="2" fillId="0" borderId="0" xfId="11" applyFont="1"/>
    <xf numFmtId="164" fontId="75" fillId="0" borderId="0" xfId="0" applyNumberFormat="1" applyFont="1"/>
    <xf numFmtId="9" fontId="11" fillId="2" borderId="0" xfId="0" applyNumberFormat="1" applyFont="1" applyFill="1"/>
    <xf numFmtId="166" fontId="11" fillId="0" borderId="0" xfId="0" applyNumberFormat="1" applyFont="1"/>
    <xf numFmtId="180" fontId="11" fillId="2" borderId="0" xfId="0" applyNumberFormat="1" applyFont="1" applyFill="1"/>
    <xf numFmtId="0" fontId="27" fillId="2" borderId="0" xfId="0" applyFont="1" applyFill="1" applyAlignment="1">
      <alignment horizontal="right"/>
    </xf>
    <xf numFmtId="0" fontId="77" fillId="0" borderId="0" xfId="10" applyFont="1"/>
    <xf numFmtId="0" fontId="78" fillId="0" borderId="5" xfId="0" applyFont="1" applyBorder="1" applyAlignment="1">
      <alignment horizontal="center" vertical="top"/>
    </xf>
    <xf numFmtId="0" fontId="6" fillId="0" borderId="0" xfId="0" applyFont="1"/>
    <xf numFmtId="0" fontId="72" fillId="0" borderId="0" xfId="10" applyFont="1" applyAlignment="1">
      <alignment horizontal="right"/>
    </xf>
    <xf numFmtId="10" fontId="2" fillId="0" borderId="0" xfId="10" applyNumberFormat="1" applyFont="1"/>
    <xf numFmtId="2" fontId="29" fillId="0" borderId="0" xfId="10" applyNumberFormat="1" applyFont="1"/>
    <xf numFmtId="165" fontId="29" fillId="0" borderId="0" xfId="1" applyNumberFormat="1" applyFont="1"/>
    <xf numFmtId="10" fontId="2" fillId="0" borderId="0" xfId="1" applyNumberFormat="1" applyFont="1"/>
    <xf numFmtId="10" fontId="29" fillId="0" borderId="0" xfId="1" applyNumberFormat="1" applyFont="1"/>
    <xf numFmtId="3" fontId="2" fillId="0" borderId="0" xfId="10" applyNumberFormat="1" applyFont="1"/>
    <xf numFmtId="1" fontId="2" fillId="0" borderId="14" xfId="10" applyNumberFormat="1" applyFont="1" applyBorder="1" applyAlignment="1">
      <alignment horizontal="right"/>
    </xf>
    <xf numFmtId="3" fontId="0" fillId="5" borderId="0" xfId="0" applyNumberFormat="1" applyFill="1"/>
    <xf numFmtId="0" fontId="79" fillId="0" borderId="0" xfId="0" applyFont="1"/>
    <xf numFmtId="181" fontId="0" fillId="0" borderId="0" xfId="0" applyNumberFormat="1"/>
    <xf numFmtId="182" fontId="12" fillId="0" borderId="0" xfId="0" applyNumberFormat="1" applyFont="1"/>
    <xf numFmtId="166" fontId="49" fillId="0" borderId="1" xfId="0" applyNumberFormat="1" applyFont="1" applyBorder="1"/>
    <xf numFmtId="183" fontId="26" fillId="0" borderId="0" xfId="0" applyNumberFormat="1" applyFont="1"/>
    <xf numFmtId="183" fontId="0" fillId="0" borderId="0" xfId="0" applyNumberFormat="1"/>
    <xf numFmtId="184" fontId="26" fillId="0" borderId="0" xfId="0" applyNumberFormat="1" applyFont="1"/>
    <xf numFmtId="184" fontId="12" fillId="0" borderId="4" xfId="0" applyNumberFormat="1" applyFont="1" applyBorder="1"/>
    <xf numFmtId="0" fontId="12" fillId="5" borderId="4" xfId="0" applyFont="1" applyFill="1" applyBorder="1"/>
    <xf numFmtId="0" fontId="12" fillId="5" borderId="2" xfId="0" applyFont="1" applyFill="1" applyBorder="1"/>
    <xf numFmtId="0" fontId="78" fillId="5" borderId="2" xfId="0" applyFont="1" applyFill="1" applyBorder="1"/>
    <xf numFmtId="10" fontId="78" fillId="5" borderId="2" xfId="1" applyNumberFormat="1" applyFont="1" applyFill="1" applyBorder="1"/>
    <xf numFmtId="165" fontId="12" fillId="5" borderId="4" xfId="1" applyNumberFormat="1" applyFont="1" applyFill="1" applyBorder="1"/>
    <xf numFmtId="165" fontId="78" fillId="5" borderId="2" xfId="1" applyNumberFormat="1" applyFont="1" applyFill="1" applyBorder="1"/>
    <xf numFmtId="165" fontId="12" fillId="5" borderId="2" xfId="1" applyNumberFormat="1" applyFont="1" applyFill="1" applyBorder="1"/>
    <xf numFmtId="0" fontId="0" fillId="0" borderId="0" xfId="0" applyProtection="1">
      <protection locked="0"/>
    </xf>
    <xf numFmtId="0" fontId="19" fillId="9" borderId="11" xfId="0" applyFont="1" applyFill="1" applyBorder="1" applyProtection="1">
      <protection locked="0"/>
    </xf>
    <xf numFmtId="0" fontId="19" fillId="0" borderId="11" xfId="0" applyFont="1" applyBorder="1" applyProtection="1">
      <protection locked="0"/>
    </xf>
    <xf numFmtId="10" fontId="19" fillId="0" borderId="11" xfId="0" applyNumberFormat="1" applyFont="1" applyBorder="1" applyAlignment="1" applyProtection="1">
      <alignment horizontal="left"/>
      <protection locked="0"/>
    </xf>
    <xf numFmtId="0" fontId="19" fillId="0" borderId="11" xfId="0" applyFont="1" applyBorder="1" applyAlignment="1" applyProtection="1">
      <alignment horizontal="left"/>
      <protection locked="0"/>
    </xf>
    <xf numFmtId="173" fontId="19" fillId="0" borderId="11" xfId="0" applyNumberFormat="1" applyFont="1" applyBorder="1" applyAlignment="1" applyProtection="1">
      <alignment horizontal="left"/>
      <protection locked="0"/>
    </xf>
    <xf numFmtId="10" fontId="19" fillId="0" borderId="11" xfId="1" applyNumberFormat="1" applyFont="1" applyBorder="1" applyAlignment="1" applyProtection="1">
      <alignment horizontal="left"/>
      <protection locked="0"/>
    </xf>
    <xf numFmtId="0" fontId="0" fillId="0" borderId="11" xfId="0" applyBorder="1" applyProtection="1">
      <protection locked="0"/>
    </xf>
    <xf numFmtId="0" fontId="0" fillId="0" borderId="0" xfId="0" applyAlignment="1">
      <alignment horizontal="left" vertical="top" wrapText="1"/>
    </xf>
    <xf numFmtId="0" fontId="63" fillId="0" borderId="10" xfId="0" applyFont="1" applyBorder="1" applyAlignment="1">
      <alignment horizontal="center"/>
    </xf>
    <xf numFmtId="0" fontId="63" fillId="0" borderId="11" xfId="0" applyFont="1" applyBorder="1" applyAlignment="1">
      <alignment horizontal="center"/>
    </xf>
    <xf numFmtId="0" fontId="11" fillId="2" borderId="0" xfId="0" applyFont="1" applyFill="1" applyAlignment="1">
      <alignment horizontal="center"/>
    </xf>
    <xf numFmtId="0" fontId="0" fillId="3" borderId="0" xfId="0" applyFill="1" applyAlignment="1">
      <alignment horizontal="center"/>
    </xf>
    <xf numFmtId="0" fontId="0" fillId="5" borderId="0" xfId="0" applyFill="1" applyAlignment="1">
      <alignment horizontal="center"/>
    </xf>
    <xf numFmtId="0" fontId="12" fillId="3" borderId="0" xfId="0" applyFont="1" applyFill="1" applyAlignment="1">
      <alignment horizontal="center"/>
    </xf>
    <xf numFmtId="0" fontId="0" fillId="3" borderId="0" xfId="0" applyFill="1" applyAlignment="1">
      <alignment horizontal="center" vertical="center"/>
    </xf>
    <xf numFmtId="0" fontId="12" fillId="0" borderId="0" xfId="0" applyFont="1" applyAlignment="1">
      <alignment horizontal="center"/>
    </xf>
    <xf numFmtId="0" fontId="12" fillId="3" borderId="0" xfId="0" applyFont="1" applyFill="1" applyAlignment="1">
      <alignment horizontal="center" vertical="center"/>
    </xf>
    <xf numFmtId="0" fontId="12" fillId="5" borderId="0" xfId="0" applyFont="1" applyFill="1" applyAlignment="1">
      <alignment horizontal="center"/>
    </xf>
    <xf numFmtId="0" fontId="80" fillId="2" borderId="0" xfId="0" applyFont="1" applyFill="1" applyAlignment="1">
      <alignment horizontal="center"/>
    </xf>
    <xf numFmtId="0" fontId="76" fillId="0" borderId="0" xfId="0" applyFont="1" applyAlignment="1">
      <alignment horizontal="right" vertical="center" textRotation="90" wrapText="1"/>
    </xf>
    <xf numFmtId="0" fontId="0" fillId="6" borderId="0" xfId="0" applyFill="1" applyAlignment="1">
      <alignment horizontal="center"/>
    </xf>
    <xf numFmtId="0" fontId="16" fillId="2" borderId="0" xfId="0" applyFont="1" applyFill="1" applyAlignment="1">
      <alignment horizontal="center"/>
    </xf>
    <xf numFmtId="9" fontId="0" fillId="5" borderId="0" xfId="0" applyNumberFormat="1" applyFill="1" applyAlignment="1">
      <alignment horizontal="center"/>
    </xf>
    <xf numFmtId="0" fontId="28" fillId="2" borderId="0" xfId="0" applyFont="1" applyFill="1" applyAlignment="1">
      <alignment horizontal="center"/>
    </xf>
  </cellXfs>
  <cellStyles count="14">
    <cellStyle name="Comma 2" xfId="13" xr:uid="{28C311CC-3DEB-40A6-A7EE-D7EA9026C7BB}"/>
    <cellStyle name="Currency 3" xfId="11" xr:uid="{B3EF5DD8-0484-4644-94D0-8356E6F1C139}"/>
    <cellStyle name="Hyperlink" xfId="5" builtinId="8"/>
    <cellStyle name="Hyperlink 2" xfId="7" xr:uid="{AA31F9E9-79D1-4836-8B31-334F45511068}"/>
    <cellStyle name="Normal" xfId="0" builtinId="0"/>
    <cellStyle name="Normal 2" xfId="3" xr:uid="{3FDC719C-D55D-47C4-A983-FBE97D19701C}"/>
    <cellStyle name="Normal 3" xfId="2" xr:uid="{A8E48AEC-AEA1-424A-A68B-DCD242593CD0}"/>
    <cellStyle name="Normal 4" xfId="6" xr:uid="{A44CDA64-8C34-4DA9-8ED2-9405F120F7B8}"/>
    <cellStyle name="Normal 5" xfId="9" xr:uid="{FBB5D8DF-2C73-4792-B190-8CF58E552B04}"/>
    <cellStyle name="Normal 6" xfId="10" xr:uid="{64891EE9-839E-4524-9D28-72CF37C229E3}"/>
    <cellStyle name="Percent" xfId="1" builtinId="5"/>
    <cellStyle name="Percent 2" xfId="4" xr:uid="{2249E0B2-F5E7-4593-9A6D-FAFF53593210}"/>
    <cellStyle name="Percent 3" xfId="8" xr:uid="{ECA33E54-ADF5-4549-8996-EDDB377E3569}"/>
    <cellStyle name="Percent 5" xfId="12" xr:uid="{76B0AE35-B709-46B4-A48B-A2A2317513E4}"/>
  </cellStyles>
  <dxfs count="0"/>
  <tableStyles count="0" defaultTableStyle="TableStyleMedium2" defaultPivotStyle="PivotStyleLight16"/>
  <colors>
    <mruColors>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Break-up</a:t>
            </a:r>
            <a:r>
              <a:rPr lang="en-IN" baseline="0"/>
              <a:t> % of Raw Material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B0-45F7-BCC0-E6607204CE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B0-45F7-BCC0-E6607204CE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Assumptions!$K$131:$K$132</c:f>
              <c:strCache>
                <c:ptCount val="2"/>
                <c:pt idx="0">
                  <c:v>Steel+Aluminum</c:v>
                </c:pt>
                <c:pt idx="1">
                  <c:v>Others</c:v>
                </c:pt>
              </c:strCache>
            </c:strRef>
          </c:cat>
          <c:val>
            <c:numRef>
              <c:f>Assumptions!$L$131:$L$132</c:f>
              <c:numCache>
                <c:formatCode>0%</c:formatCode>
                <c:ptCount val="2"/>
                <c:pt idx="0">
                  <c:v>0.69</c:v>
                </c:pt>
                <c:pt idx="1">
                  <c:v>0.31</c:v>
                </c:pt>
              </c:numCache>
            </c:numRef>
          </c:val>
          <c:extLst>
            <c:ext xmlns:c16="http://schemas.microsoft.com/office/drawing/2014/chart" uri="{C3380CC4-5D6E-409C-BE32-E72D297353CC}">
              <c16:uniqueId val="{00000000-E31F-47EE-BE55-8369B1914C7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tx>
            <c:strRef>
              <c:f>Assumptions!$B$297</c:f>
              <c:strCache>
                <c:ptCount val="1"/>
                <c:pt idx="0">
                  <c:v>Sales Growth %</c:v>
                </c:pt>
              </c:strCache>
            </c:strRef>
          </c:tx>
          <c:spPr>
            <a:ln w="28575" cap="rnd">
              <a:solidFill>
                <a:schemeClr val="accent1"/>
              </a:solidFill>
              <a:round/>
            </a:ln>
            <a:effectLst/>
          </c:spPr>
          <c:marker>
            <c:symbol val="none"/>
          </c:marker>
          <c:val>
            <c:numRef>
              <c:f>Assumptions!$C$297:$K$297</c:f>
              <c:numCache>
                <c:formatCode>0.00%</c:formatCode>
                <c:ptCount val="9"/>
                <c:pt idx="1">
                  <c:v>0.13931637777417794</c:v>
                </c:pt>
                <c:pt idx="2">
                  <c:v>0.27470496232048913</c:v>
                </c:pt>
                <c:pt idx="3">
                  <c:v>9.2805354155047315E-2</c:v>
                </c:pt>
                <c:pt idx="4">
                  <c:v>-6.5632336429519267E-2</c:v>
                </c:pt>
                <c:pt idx="5">
                  <c:v>-4.7410967882892674E-2</c:v>
                </c:pt>
                <c:pt idx="6">
                  <c:v>0.18096330275229366</c:v>
                </c:pt>
                <c:pt idx="7">
                  <c:v>0.40240823460866193</c:v>
                </c:pt>
                <c:pt idx="8">
                  <c:v>0.14499376817615284</c:v>
                </c:pt>
              </c:numCache>
            </c:numRef>
          </c:val>
          <c:smooth val="0"/>
          <c:extLst>
            <c:ext xmlns:c16="http://schemas.microsoft.com/office/drawing/2014/chart" uri="{C3380CC4-5D6E-409C-BE32-E72D297353CC}">
              <c16:uniqueId val="{00000000-CAEA-4522-9653-997C0A0B3220}"/>
            </c:ext>
          </c:extLst>
        </c:ser>
        <c:ser>
          <c:idx val="1"/>
          <c:order val="1"/>
          <c:tx>
            <c:strRef>
              <c:f>Assumptions!$B$300</c:f>
              <c:strCache>
                <c:ptCount val="1"/>
                <c:pt idx="0">
                  <c:v>Inventory Growth %</c:v>
                </c:pt>
              </c:strCache>
            </c:strRef>
          </c:tx>
          <c:spPr>
            <a:ln w="28575" cap="rnd">
              <a:solidFill>
                <a:schemeClr val="accent2"/>
              </a:solidFill>
              <a:round/>
            </a:ln>
            <a:effectLst/>
          </c:spPr>
          <c:marker>
            <c:symbol val="none"/>
          </c:marker>
          <c:val>
            <c:numRef>
              <c:f>Assumptions!$C$300:$K$300</c:f>
              <c:numCache>
                <c:formatCode>0.00%</c:formatCode>
                <c:ptCount val="9"/>
                <c:pt idx="1">
                  <c:v>9.0909090909090828E-2</c:v>
                </c:pt>
                <c:pt idx="2">
                  <c:v>0.17559523809523814</c:v>
                </c:pt>
                <c:pt idx="3">
                  <c:v>0.60253164556962036</c:v>
                </c:pt>
                <c:pt idx="4">
                  <c:v>-9.6366508688783603E-2</c:v>
                </c:pt>
                <c:pt idx="5">
                  <c:v>0.5297202797202798</c:v>
                </c:pt>
                <c:pt idx="6">
                  <c:v>0.29371428571428582</c:v>
                </c:pt>
                <c:pt idx="7">
                  <c:v>0.12897526501766787</c:v>
                </c:pt>
                <c:pt idx="8">
                  <c:v>0.10328638497652576</c:v>
                </c:pt>
              </c:numCache>
            </c:numRef>
          </c:val>
          <c:smooth val="0"/>
          <c:extLst>
            <c:ext xmlns:c16="http://schemas.microsoft.com/office/drawing/2014/chart" uri="{C3380CC4-5D6E-409C-BE32-E72D297353CC}">
              <c16:uniqueId val="{00000001-CAEA-4522-9653-997C0A0B3220}"/>
            </c:ext>
          </c:extLst>
        </c:ser>
        <c:dLbls>
          <c:showLegendKey val="0"/>
          <c:showVal val="0"/>
          <c:showCatName val="0"/>
          <c:showSerName val="0"/>
          <c:showPercent val="0"/>
          <c:showBubbleSize val="0"/>
        </c:dLbls>
        <c:smooth val="0"/>
        <c:axId val="722014831"/>
        <c:axId val="722016271"/>
      </c:lineChart>
      <c:catAx>
        <c:axId val="72201483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016271"/>
        <c:crosses val="autoZero"/>
        <c:auto val="1"/>
        <c:lblAlgn val="ctr"/>
        <c:lblOffset val="100"/>
        <c:noMultiLvlLbl val="0"/>
      </c:catAx>
      <c:valAx>
        <c:axId val="72201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014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6" fmlaLink="$H$4" fmlaRange="$B$14:$B$16" noThreeD="1" sel="2" val="0"/>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chart" Target="../charts/chart2.xml"/><Relationship Id="rId3" Type="http://schemas.openxmlformats.org/officeDocument/2006/relationships/image" Target="../media/image5.png"/><Relationship Id="rId21" Type="http://schemas.openxmlformats.org/officeDocument/2006/relationships/image" Target="../media/image21.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chart" Target="../charts/chart1.xml"/><Relationship Id="rId25" Type="http://schemas.openxmlformats.org/officeDocument/2006/relationships/image" Target="../media/image25.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0.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4.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3.png"/><Relationship Id="rId10" Type="http://schemas.openxmlformats.org/officeDocument/2006/relationships/image" Target="../media/image12.png"/><Relationship Id="rId19" Type="http://schemas.openxmlformats.org/officeDocument/2006/relationships/image" Target="../media/image19.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10</xdr:col>
      <xdr:colOff>231914</xdr:colOff>
      <xdr:row>4</xdr:row>
      <xdr:rowOff>161789</xdr:rowOff>
    </xdr:from>
    <xdr:to>
      <xdr:col>18</xdr:col>
      <xdr:colOff>183517</xdr:colOff>
      <xdr:row>23</xdr:row>
      <xdr:rowOff>63700</xdr:rowOff>
    </xdr:to>
    <xdr:pic>
      <xdr:nvPicPr>
        <xdr:cNvPr id="2" name="Picture 1">
          <a:extLst>
            <a:ext uri="{FF2B5EF4-FFF2-40B4-BE49-F238E27FC236}">
              <a16:creationId xmlns:a16="http://schemas.microsoft.com/office/drawing/2014/main" id="{87DEB321-75E4-62DB-B83C-069C0295E758}"/>
            </a:ext>
          </a:extLst>
        </xdr:cNvPr>
        <xdr:cNvPicPr>
          <a:picLocks noChangeAspect="1"/>
        </xdr:cNvPicPr>
      </xdr:nvPicPr>
      <xdr:blipFill>
        <a:blip xmlns:r="http://schemas.openxmlformats.org/officeDocument/2006/relationships" r:embed="rId1"/>
        <a:stretch>
          <a:fillRect/>
        </a:stretch>
      </xdr:blipFill>
      <xdr:spPr>
        <a:xfrm>
          <a:off x="11913705" y="996676"/>
          <a:ext cx="5186212" cy="3426989"/>
        </a:xfrm>
        <a:prstGeom prst="rect">
          <a:avLst/>
        </a:prstGeom>
      </xdr:spPr>
    </xdr:pic>
    <xdr:clientData/>
  </xdr:twoCellAnchor>
  <xdr:twoCellAnchor editAs="oneCell">
    <xdr:from>
      <xdr:col>10</xdr:col>
      <xdr:colOff>589721</xdr:colOff>
      <xdr:row>24</xdr:row>
      <xdr:rowOff>72887</xdr:rowOff>
    </xdr:from>
    <xdr:to>
      <xdr:col>14</xdr:col>
      <xdr:colOff>56848</xdr:colOff>
      <xdr:row>36</xdr:row>
      <xdr:rowOff>94617</xdr:rowOff>
    </xdr:to>
    <xdr:pic>
      <xdr:nvPicPr>
        <xdr:cNvPr id="3" name="Picture 2">
          <a:extLst>
            <a:ext uri="{FF2B5EF4-FFF2-40B4-BE49-F238E27FC236}">
              <a16:creationId xmlns:a16="http://schemas.microsoft.com/office/drawing/2014/main" id="{4D031FC3-2D5F-C2C0-7224-4961E39CA88B}"/>
            </a:ext>
          </a:extLst>
        </xdr:cNvPr>
        <xdr:cNvPicPr>
          <a:picLocks noChangeAspect="1"/>
        </xdr:cNvPicPr>
      </xdr:nvPicPr>
      <xdr:blipFill>
        <a:blip xmlns:r="http://schemas.openxmlformats.org/officeDocument/2006/relationships" r:embed="rId2"/>
        <a:stretch>
          <a:fillRect/>
        </a:stretch>
      </xdr:blipFill>
      <xdr:spPr>
        <a:xfrm>
          <a:off x="12271512" y="4618383"/>
          <a:ext cx="2263336" cy="224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7620</xdr:colOff>
          <xdr:row>2</xdr:row>
          <xdr:rowOff>175260</xdr:rowOff>
        </xdr:from>
        <xdr:to>
          <xdr:col>10</xdr:col>
          <xdr:colOff>68580</xdr:colOff>
          <xdr:row>4</xdr:row>
          <xdr:rowOff>30480</xdr:rowOff>
        </xdr:to>
        <xdr:sp macro="" textlink="">
          <xdr:nvSpPr>
            <xdr:cNvPr id="4097" name="Drop Down 1" hidden="1">
              <a:extLst>
                <a:ext uri="{63B3BB69-23CF-44E3-9099-C40C66FF867C}">
                  <a14:compatExt spid="_x0000_s4097"/>
                </a:ext>
                <a:ext uri="{FF2B5EF4-FFF2-40B4-BE49-F238E27FC236}">
                  <a16:creationId xmlns:a16="http://schemas.microsoft.com/office/drawing/2014/main" id="{00000000-0008-0000-04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4</xdr:col>
      <xdr:colOff>324679</xdr:colOff>
      <xdr:row>10</xdr:row>
      <xdr:rowOff>0</xdr:rowOff>
    </xdr:from>
    <xdr:to>
      <xdr:col>8</xdr:col>
      <xdr:colOff>633455</xdr:colOff>
      <xdr:row>22</xdr:row>
      <xdr:rowOff>114163</xdr:rowOff>
    </xdr:to>
    <xdr:pic>
      <xdr:nvPicPr>
        <xdr:cNvPr id="2" name="Picture 1">
          <a:extLst>
            <a:ext uri="{FF2B5EF4-FFF2-40B4-BE49-F238E27FC236}">
              <a16:creationId xmlns:a16="http://schemas.microsoft.com/office/drawing/2014/main" id="{704ECA04-7036-9D21-0E4A-A75042D621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7236" y="1948070"/>
          <a:ext cx="3601941" cy="2340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89195</xdr:colOff>
      <xdr:row>11</xdr:row>
      <xdr:rowOff>72888</xdr:rowOff>
    </xdr:from>
    <xdr:to>
      <xdr:col>16</xdr:col>
      <xdr:colOff>408689</xdr:colOff>
      <xdr:row>23</xdr:row>
      <xdr:rowOff>112645</xdr:rowOff>
    </xdr:to>
    <xdr:pic>
      <xdr:nvPicPr>
        <xdr:cNvPr id="3" name="Picture 2">
          <a:extLst>
            <a:ext uri="{FF2B5EF4-FFF2-40B4-BE49-F238E27FC236}">
              <a16:creationId xmlns:a16="http://schemas.microsoft.com/office/drawing/2014/main" id="{D33B3485-F683-A450-DBCF-05AB2C367855}"/>
            </a:ext>
          </a:extLst>
        </xdr:cNvPr>
        <xdr:cNvPicPr>
          <a:picLocks noChangeAspect="1"/>
        </xdr:cNvPicPr>
      </xdr:nvPicPr>
      <xdr:blipFill>
        <a:blip xmlns:r="http://schemas.openxmlformats.org/officeDocument/2006/relationships" r:embed="rId2"/>
        <a:stretch>
          <a:fillRect/>
        </a:stretch>
      </xdr:blipFill>
      <xdr:spPr>
        <a:xfrm>
          <a:off x="8067004" y="2206488"/>
          <a:ext cx="3473842" cy="2266122"/>
        </a:xfrm>
        <a:prstGeom prst="rect">
          <a:avLst/>
        </a:prstGeom>
      </xdr:spPr>
    </xdr:pic>
    <xdr:clientData/>
  </xdr:twoCellAnchor>
  <xdr:twoCellAnchor editAs="oneCell">
    <xdr:from>
      <xdr:col>18</xdr:col>
      <xdr:colOff>137085</xdr:colOff>
      <xdr:row>10</xdr:row>
      <xdr:rowOff>66262</xdr:rowOff>
    </xdr:from>
    <xdr:to>
      <xdr:col>23</xdr:col>
      <xdr:colOff>461720</xdr:colOff>
      <xdr:row>21</xdr:row>
      <xdr:rowOff>47372</xdr:rowOff>
    </xdr:to>
    <xdr:pic>
      <xdr:nvPicPr>
        <xdr:cNvPr id="4" name="Picture 3">
          <a:extLst>
            <a:ext uri="{FF2B5EF4-FFF2-40B4-BE49-F238E27FC236}">
              <a16:creationId xmlns:a16="http://schemas.microsoft.com/office/drawing/2014/main" id="{BFD1C32F-F3B6-5E52-B79D-60F9A8E349BD}"/>
            </a:ext>
          </a:extLst>
        </xdr:cNvPr>
        <xdr:cNvPicPr>
          <a:picLocks noChangeAspect="1"/>
        </xdr:cNvPicPr>
      </xdr:nvPicPr>
      <xdr:blipFill>
        <a:blip xmlns:r="http://schemas.openxmlformats.org/officeDocument/2006/relationships" r:embed="rId3"/>
        <a:stretch>
          <a:fillRect/>
        </a:stretch>
      </xdr:blipFill>
      <xdr:spPr>
        <a:xfrm>
          <a:off x="12382094" y="2014332"/>
          <a:ext cx="3372635" cy="2021944"/>
        </a:xfrm>
        <a:prstGeom prst="rect">
          <a:avLst/>
        </a:prstGeom>
      </xdr:spPr>
    </xdr:pic>
    <xdr:clientData/>
  </xdr:twoCellAnchor>
  <xdr:twoCellAnchor editAs="oneCell">
    <xdr:from>
      <xdr:col>16</xdr:col>
      <xdr:colOff>556593</xdr:colOff>
      <xdr:row>29</xdr:row>
      <xdr:rowOff>106016</xdr:rowOff>
    </xdr:from>
    <xdr:to>
      <xdr:col>21</xdr:col>
      <xdr:colOff>119934</xdr:colOff>
      <xdr:row>43</xdr:row>
      <xdr:rowOff>165651</xdr:rowOff>
    </xdr:to>
    <xdr:pic>
      <xdr:nvPicPr>
        <xdr:cNvPr id="5" name="Picture 4">
          <a:extLst>
            <a:ext uri="{FF2B5EF4-FFF2-40B4-BE49-F238E27FC236}">
              <a16:creationId xmlns:a16="http://schemas.microsoft.com/office/drawing/2014/main" id="{3C88DBD2-9360-4D91-23CA-B1F4DECBF585}"/>
            </a:ext>
          </a:extLst>
        </xdr:cNvPr>
        <xdr:cNvPicPr>
          <a:picLocks noChangeAspect="1"/>
        </xdr:cNvPicPr>
      </xdr:nvPicPr>
      <xdr:blipFill>
        <a:blip xmlns:r="http://schemas.openxmlformats.org/officeDocument/2006/relationships" r:embed="rId4"/>
        <a:stretch>
          <a:fillRect/>
        </a:stretch>
      </xdr:blipFill>
      <xdr:spPr>
        <a:xfrm>
          <a:off x="11582402" y="5579164"/>
          <a:ext cx="2657061" cy="2657061"/>
        </a:xfrm>
        <a:prstGeom prst="rect">
          <a:avLst/>
        </a:prstGeom>
      </xdr:spPr>
    </xdr:pic>
    <xdr:clientData/>
  </xdr:twoCellAnchor>
  <xdr:twoCellAnchor editAs="oneCell">
    <xdr:from>
      <xdr:col>11</xdr:col>
      <xdr:colOff>482025</xdr:colOff>
      <xdr:row>32</xdr:row>
      <xdr:rowOff>172278</xdr:rowOff>
    </xdr:from>
    <xdr:to>
      <xdr:col>16</xdr:col>
      <xdr:colOff>244835</xdr:colOff>
      <xdr:row>44</xdr:row>
      <xdr:rowOff>22954</xdr:rowOff>
    </xdr:to>
    <xdr:pic>
      <xdr:nvPicPr>
        <xdr:cNvPr id="6" name="Picture 5">
          <a:extLst>
            <a:ext uri="{FF2B5EF4-FFF2-40B4-BE49-F238E27FC236}">
              <a16:creationId xmlns:a16="http://schemas.microsoft.com/office/drawing/2014/main" id="{F4641930-9E97-EF1F-93B4-8EC4B8ADAEEB}"/>
            </a:ext>
          </a:extLst>
        </xdr:cNvPr>
        <xdr:cNvPicPr>
          <a:picLocks noChangeAspect="1"/>
        </xdr:cNvPicPr>
      </xdr:nvPicPr>
      <xdr:blipFill>
        <a:blip xmlns:r="http://schemas.openxmlformats.org/officeDocument/2006/relationships" r:embed="rId5"/>
        <a:stretch>
          <a:fillRect/>
        </a:stretch>
      </xdr:blipFill>
      <xdr:spPr>
        <a:xfrm>
          <a:off x="8459834" y="6202017"/>
          <a:ext cx="2917158" cy="2077041"/>
        </a:xfrm>
        <a:prstGeom prst="rect">
          <a:avLst/>
        </a:prstGeom>
      </xdr:spPr>
    </xdr:pic>
    <xdr:clientData/>
  </xdr:twoCellAnchor>
  <xdr:twoCellAnchor editAs="oneCell">
    <xdr:from>
      <xdr:col>12</xdr:col>
      <xdr:colOff>357809</xdr:colOff>
      <xdr:row>45</xdr:row>
      <xdr:rowOff>6627</xdr:rowOff>
    </xdr:from>
    <xdr:to>
      <xdr:col>15</xdr:col>
      <xdr:colOff>485263</xdr:colOff>
      <xdr:row>53</xdr:row>
      <xdr:rowOff>86139</xdr:rowOff>
    </xdr:to>
    <xdr:pic>
      <xdr:nvPicPr>
        <xdr:cNvPr id="7" name="Picture 6">
          <a:extLst>
            <a:ext uri="{FF2B5EF4-FFF2-40B4-BE49-F238E27FC236}">
              <a16:creationId xmlns:a16="http://schemas.microsoft.com/office/drawing/2014/main" id="{D84F60C6-4B53-6002-D44C-160ED76DE159}"/>
            </a:ext>
          </a:extLst>
        </xdr:cNvPr>
        <xdr:cNvPicPr>
          <a:picLocks noChangeAspect="1"/>
        </xdr:cNvPicPr>
      </xdr:nvPicPr>
      <xdr:blipFill>
        <a:blip xmlns:r="http://schemas.openxmlformats.org/officeDocument/2006/relationships" r:embed="rId6"/>
        <a:stretch>
          <a:fillRect/>
        </a:stretch>
      </xdr:blipFill>
      <xdr:spPr>
        <a:xfrm>
          <a:off x="8945218" y="8262731"/>
          <a:ext cx="2009262" cy="1563756"/>
        </a:xfrm>
        <a:prstGeom prst="rect">
          <a:avLst/>
        </a:prstGeom>
      </xdr:spPr>
    </xdr:pic>
    <xdr:clientData/>
  </xdr:twoCellAnchor>
  <xdr:oneCellAnchor>
    <xdr:from>
      <xdr:col>1</xdr:col>
      <xdr:colOff>66261</xdr:colOff>
      <xdr:row>108</xdr:row>
      <xdr:rowOff>26503</xdr:rowOff>
    </xdr:from>
    <xdr:ext cx="10283687" cy="2027584"/>
    <xdr:sp macro="" textlink="">
      <xdr:nvSpPr>
        <xdr:cNvPr id="8" name="TextBox 7">
          <a:extLst>
            <a:ext uri="{FF2B5EF4-FFF2-40B4-BE49-F238E27FC236}">
              <a16:creationId xmlns:a16="http://schemas.microsoft.com/office/drawing/2014/main" id="{D4B24339-AF49-5FAB-CAA6-5C6412A32719}"/>
            </a:ext>
          </a:extLst>
        </xdr:cNvPr>
        <xdr:cNvSpPr txBox="1"/>
      </xdr:nvSpPr>
      <xdr:spPr>
        <a:xfrm>
          <a:off x="198783" y="20322207"/>
          <a:ext cx="10283687" cy="2027584"/>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0" i="0" u="none" strike="noStrike">
              <a:solidFill>
                <a:schemeClr val="tx1"/>
              </a:solidFill>
              <a:effectLst/>
              <a:latin typeface="+mn-lt"/>
              <a:ea typeface="+mn-ea"/>
              <a:cs typeface="+mn-cs"/>
            </a:rPr>
            <a:t>NOTE 1 - Sales</a:t>
          </a:r>
          <a:r>
            <a:rPr lang="en-IN" sz="1100" b="0" i="0" u="none" strike="noStrike" baseline="0">
              <a:solidFill>
                <a:schemeClr val="tx1"/>
              </a:solidFill>
              <a:effectLst/>
              <a:latin typeface="+mn-lt"/>
              <a:ea typeface="+mn-ea"/>
              <a:cs typeface="+mn-cs"/>
            </a:rPr>
            <a:t> Assumption:</a:t>
          </a:r>
        </a:p>
        <a:p>
          <a:endParaRPr lang="en-IN" sz="1100" b="0" i="0" u="none" strike="noStrike">
            <a:solidFill>
              <a:schemeClr val="tx1"/>
            </a:solidFill>
            <a:effectLst/>
            <a:latin typeface="+mn-lt"/>
            <a:ea typeface="+mn-ea"/>
            <a:cs typeface="+mn-cs"/>
          </a:endParaRPr>
        </a:p>
        <a:p>
          <a:r>
            <a:rPr lang="en-IN" sz="1100" b="0" i="0" u="none" strike="noStrike">
              <a:solidFill>
                <a:schemeClr val="tx1"/>
              </a:solidFill>
              <a:effectLst/>
              <a:latin typeface="+mn-lt"/>
              <a:ea typeface="+mn-ea"/>
              <a:cs typeface="+mn-cs"/>
            </a:rPr>
            <a:t>Overall, India’s two-wheeler market is projected to grow at 8–10% CAGR through 2030, with the electric segment growing explosively (~60–66% CAGR), albeit still emerging. Both established ICE and fast-growing EV categories offer significant expansion opportunities,</a:t>
          </a:r>
          <a:r>
            <a:rPr lang="en-IN" sz="1100" b="0" i="0" u="none" strike="noStrike" baseline="0">
              <a:solidFill>
                <a:schemeClr val="tx1"/>
              </a:solidFill>
              <a:effectLst/>
              <a:latin typeface="+mn-lt"/>
              <a:ea typeface="+mn-ea"/>
              <a:cs typeface="+mn-cs"/>
            </a:rPr>
            <a:t> </a:t>
          </a:r>
          <a:r>
            <a:rPr lang="en-IN" sz="1100" b="0" i="0" u="none" strike="noStrike">
              <a:solidFill>
                <a:schemeClr val="tx1"/>
              </a:solidFill>
              <a:effectLst/>
              <a:latin typeface="+mn-lt"/>
              <a:ea typeface="+mn-ea"/>
              <a:cs typeface="+mn-cs"/>
            </a:rPr>
            <a:t>driven by affordable transport needs, policy support, digital innovation, and infrastructure enhancements.</a:t>
          </a:r>
          <a:r>
            <a:rPr lang="en-IN"/>
            <a:t> </a:t>
          </a:r>
        </a:p>
        <a:p>
          <a:r>
            <a:rPr lang="en-IN" sz="1100"/>
            <a:t>While</a:t>
          </a:r>
          <a:r>
            <a:rPr lang="en-IN" sz="1100" baseline="0"/>
            <a:t> forecasting the sales growth of Eicher Motors, as they are on verge to launch their Electric Bike - Flying Flea, considering management guidance of launching it in 2026, sales growth is expected to rise. To put it in a numbers, from the study I feel it should grow at a rate of 15% starting from 2026 and growing in 2027 at 16-17%. Then gradually coming at a industry growth rate (6%) at the end of forecasted period (2030). </a:t>
          </a:r>
        </a:p>
        <a:p>
          <a:r>
            <a:rPr lang="en-IN" sz="1100" baseline="0"/>
            <a:t>Talking about EV, with possibility of government support, it can certainly give a boost to EV segment of the business, leading to increased sales growth. </a:t>
          </a:r>
        </a:p>
      </xdr:txBody>
    </xdr:sp>
    <xdr:clientData/>
  </xdr:oneCellAnchor>
  <xdr:twoCellAnchor editAs="oneCell">
    <xdr:from>
      <xdr:col>1</xdr:col>
      <xdr:colOff>72886</xdr:colOff>
      <xdr:row>80</xdr:row>
      <xdr:rowOff>159024</xdr:rowOff>
    </xdr:from>
    <xdr:to>
      <xdr:col>2</xdr:col>
      <xdr:colOff>808382</xdr:colOff>
      <xdr:row>97</xdr:row>
      <xdr:rowOff>147532</xdr:rowOff>
    </xdr:to>
    <xdr:pic>
      <xdr:nvPicPr>
        <xdr:cNvPr id="9" name="Picture 8">
          <a:extLst>
            <a:ext uri="{FF2B5EF4-FFF2-40B4-BE49-F238E27FC236}">
              <a16:creationId xmlns:a16="http://schemas.microsoft.com/office/drawing/2014/main" id="{9B70D4D5-C8E9-8B66-6EF6-C5BF13A8F99E}"/>
            </a:ext>
          </a:extLst>
        </xdr:cNvPr>
        <xdr:cNvPicPr>
          <a:picLocks noChangeAspect="1"/>
        </xdr:cNvPicPr>
      </xdr:nvPicPr>
      <xdr:blipFill>
        <a:blip xmlns:r="http://schemas.openxmlformats.org/officeDocument/2006/relationships" r:embed="rId7"/>
        <a:stretch>
          <a:fillRect/>
        </a:stretch>
      </xdr:blipFill>
      <xdr:spPr>
        <a:xfrm>
          <a:off x="205408" y="15445407"/>
          <a:ext cx="2696817" cy="3142525"/>
        </a:xfrm>
        <a:prstGeom prst="rect">
          <a:avLst/>
        </a:prstGeom>
      </xdr:spPr>
    </xdr:pic>
    <xdr:clientData/>
  </xdr:twoCellAnchor>
  <xdr:twoCellAnchor editAs="oneCell">
    <xdr:from>
      <xdr:col>0</xdr:col>
      <xdr:colOff>66261</xdr:colOff>
      <xdr:row>100</xdr:row>
      <xdr:rowOff>39756</xdr:rowOff>
    </xdr:from>
    <xdr:to>
      <xdr:col>4</xdr:col>
      <xdr:colOff>503582</xdr:colOff>
      <xdr:row>106</xdr:row>
      <xdr:rowOff>102632</xdr:rowOff>
    </xdr:to>
    <xdr:pic>
      <xdr:nvPicPr>
        <xdr:cNvPr id="10" name="Picture 9">
          <a:extLst>
            <a:ext uri="{FF2B5EF4-FFF2-40B4-BE49-F238E27FC236}">
              <a16:creationId xmlns:a16="http://schemas.microsoft.com/office/drawing/2014/main" id="{A8350BB8-A48A-73FC-CF99-C0FFEC929244}"/>
            </a:ext>
          </a:extLst>
        </xdr:cNvPr>
        <xdr:cNvPicPr>
          <a:picLocks noChangeAspect="1"/>
        </xdr:cNvPicPr>
      </xdr:nvPicPr>
      <xdr:blipFill>
        <a:blip xmlns:r="http://schemas.openxmlformats.org/officeDocument/2006/relationships" r:embed="rId8"/>
        <a:stretch>
          <a:fillRect/>
        </a:stretch>
      </xdr:blipFill>
      <xdr:spPr>
        <a:xfrm>
          <a:off x="66261" y="18851217"/>
          <a:ext cx="4465982" cy="1176059"/>
        </a:xfrm>
        <a:prstGeom prst="rect">
          <a:avLst/>
        </a:prstGeom>
      </xdr:spPr>
    </xdr:pic>
    <xdr:clientData/>
  </xdr:twoCellAnchor>
  <xdr:twoCellAnchor editAs="oneCell">
    <xdr:from>
      <xdr:col>0</xdr:col>
      <xdr:colOff>112643</xdr:colOff>
      <xdr:row>128</xdr:row>
      <xdr:rowOff>139147</xdr:rowOff>
    </xdr:from>
    <xdr:to>
      <xdr:col>4</xdr:col>
      <xdr:colOff>601543</xdr:colOff>
      <xdr:row>130</xdr:row>
      <xdr:rowOff>198781</xdr:rowOff>
    </xdr:to>
    <xdr:pic>
      <xdr:nvPicPr>
        <xdr:cNvPr id="11" name="Picture 10">
          <a:extLst>
            <a:ext uri="{FF2B5EF4-FFF2-40B4-BE49-F238E27FC236}">
              <a16:creationId xmlns:a16="http://schemas.microsoft.com/office/drawing/2014/main" id="{A3A6BEF4-EAC8-B5A1-1462-BCE97BD7B983}"/>
            </a:ext>
          </a:extLst>
        </xdr:cNvPr>
        <xdr:cNvPicPr>
          <a:picLocks noChangeAspect="1"/>
        </xdr:cNvPicPr>
      </xdr:nvPicPr>
      <xdr:blipFill>
        <a:blip xmlns:r="http://schemas.openxmlformats.org/officeDocument/2006/relationships" r:embed="rId9"/>
        <a:stretch>
          <a:fillRect/>
        </a:stretch>
      </xdr:blipFill>
      <xdr:spPr>
        <a:xfrm>
          <a:off x="112643" y="24238225"/>
          <a:ext cx="4517561" cy="1159565"/>
        </a:xfrm>
        <a:prstGeom prst="rect">
          <a:avLst/>
        </a:prstGeom>
      </xdr:spPr>
    </xdr:pic>
    <xdr:clientData/>
  </xdr:twoCellAnchor>
  <xdr:twoCellAnchor editAs="oneCell">
    <xdr:from>
      <xdr:col>1</xdr:col>
      <xdr:colOff>33130</xdr:colOff>
      <xdr:row>147</xdr:row>
      <xdr:rowOff>145774</xdr:rowOff>
    </xdr:from>
    <xdr:to>
      <xdr:col>2</xdr:col>
      <xdr:colOff>563217</xdr:colOff>
      <xdr:row>155</xdr:row>
      <xdr:rowOff>10046</xdr:rowOff>
    </xdr:to>
    <xdr:pic>
      <xdr:nvPicPr>
        <xdr:cNvPr id="12" name="Picture 11">
          <a:extLst>
            <a:ext uri="{FF2B5EF4-FFF2-40B4-BE49-F238E27FC236}">
              <a16:creationId xmlns:a16="http://schemas.microsoft.com/office/drawing/2014/main" id="{5AF19A92-9953-946A-6100-93816874DE51}"/>
            </a:ext>
          </a:extLst>
        </xdr:cNvPr>
        <xdr:cNvPicPr>
          <a:picLocks noChangeAspect="1"/>
        </xdr:cNvPicPr>
      </xdr:nvPicPr>
      <xdr:blipFill>
        <a:blip xmlns:r="http://schemas.openxmlformats.org/officeDocument/2006/relationships" r:embed="rId10"/>
        <a:stretch>
          <a:fillRect/>
        </a:stretch>
      </xdr:blipFill>
      <xdr:spPr>
        <a:xfrm>
          <a:off x="165652" y="30016174"/>
          <a:ext cx="2491408" cy="1348516"/>
        </a:xfrm>
        <a:prstGeom prst="rect">
          <a:avLst/>
        </a:prstGeom>
      </xdr:spPr>
    </xdr:pic>
    <xdr:clientData/>
  </xdr:twoCellAnchor>
  <xdr:twoCellAnchor editAs="oneCell">
    <xdr:from>
      <xdr:col>2</xdr:col>
      <xdr:colOff>781880</xdr:colOff>
      <xdr:row>147</xdr:row>
      <xdr:rowOff>125896</xdr:rowOff>
    </xdr:from>
    <xdr:to>
      <xdr:col>5</xdr:col>
      <xdr:colOff>784433</xdr:colOff>
      <xdr:row>155</xdr:row>
      <xdr:rowOff>72886</xdr:rowOff>
    </xdr:to>
    <xdr:pic>
      <xdr:nvPicPr>
        <xdr:cNvPr id="13" name="Picture 12">
          <a:extLst>
            <a:ext uri="{FF2B5EF4-FFF2-40B4-BE49-F238E27FC236}">
              <a16:creationId xmlns:a16="http://schemas.microsoft.com/office/drawing/2014/main" id="{24F2B224-05E7-4663-A679-BB0A72B78E98}"/>
            </a:ext>
          </a:extLst>
        </xdr:cNvPr>
        <xdr:cNvPicPr>
          <a:picLocks noChangeAspect="1"/>
        </xdr:cNvPicPr>
      </xdr:nvPicPr>
      <xdr:blipFill>
        <a:blip xmlns:r="http://schemas.openxmlformats.org/officeDocument/2006/relationships" r:embed="rId11"/>
        <a:stretch>
          <a:fillRect/>
        </a:stretch>
      </xdr:blipFill>
      <xdr:spPr>
        <a:xfrm>
          <a:off x="2882350" y="29996296"/>
          <a:ext cx="2759006" cy="1431234"/>
        </a:xfrm>
        <a:prstGeom prst="rect">
          <a:avLst/>
        </a:prstGeom>
      </xdr:spPr>
    </xdr:pic>
    <xdr:clientData/>
  </xdr:twoCellAnchor>
  <xdr:twoCellAnchor editAs="oneCell">
    <xdr:from>
      <xdr:col>0</xdr:col>
      <xdr:colOff>92766</xdr:colOff>
      <xdr:row>155</xdr:row>
      <xdr:rowOff>112644</xdr:rowOff>
    </xdr:from>
    <xdr:to>
      <xdr:col>2</xdr:col>
      <xdr:colOff>66262</xdr:colOff>
      <xdr:row>168</xdr:row>
      <xdr:rowOff>148155</xdr:rowOff>
    </xdr:to>
    <xdr:pic>
      <xdr:nvPicPr>
        <xdr:cNvPr id="14" name="Picture 13">
          <a:extLst>
            <a:ext uri="{FF2B5EF4-FFF2-40B4-BE49-F238E27FC236}">
              <a16:creationId xmlns:a16="http://schemas.microsoft.com/office/drawing/2014/main" id="{9AA8DF87-03C3-74AE-C10B-B43E2D2B7D2A}"/>
            </a:ext>
          </a:extLst>
        </xdr:cNvPr>
        <xdr:cNvPicPr>
          <a:picLocks noChangeAspect="1"/>
        </xdr:cNvPicPr>
      </xdr:nvPicPr>
      <xdr:blipFill>
        <a:blip xmlns:r="http://schemas.openxmlformats.org/officeDocument/2006/relationships" r:embed="rId12"/>
        <a:stretch>
          <a:fillRect/>
        </a:stretch>
      </xdr:blipFill>
      <xdr:spPr>
        <a:xfrm>
          <a:off x="92766" y="31467287"/>
          <a:ext cx="2067339" cy="2447407"/>
        </a:xfrm>
        <a:prstGeom prst="rect">
          <a:avLst/>
        </a:prstGeom>
      </xdr:spPr>
    </xdr:pic>
    <xdr:clientData/>
  </xdr:twoCellAnchor>
  <xdr:twoCellAnchor editAs="oneCell">
    <xdr:from>
      <xdr:col>3</xdr:col>
      <xdr:colOff>0</xdr:colOff>
      <xdr:row>162</xdr:row>
      <xdr:rowOff>0</xdr:rowOff>
    </xdr:from>
    <xdr:to>
      <xdr:col>10</xdr:col>
      <xdr:colOff>801756</xdr:colOff>
      <xdr:row>168</xdr:row>
      <xdr:rowOff>105795</xdr:rowOff>
    </xdr:to>
    <xdr:pic>
      <xdr:nvPicPr>
        <xdr:cNvPr id="15" name="Picture 14">
          <a:extLst>
            <a:ext uri="{FF2B5EF4-FFF2-40B4-BE49-F238E27FC236}">
              <a16:creationId xmlns:a16="http://schemas.microsoft.com/office/drawing/2014/main" id="{5347EC17-8BBB-8AC3-6E5D-3F62B39A877A}"/>
            </a:ext>
          </a:extLst>
        </xdr:cNvPr>
        <xdr:cNvPicPr>
          <a:picLocks noChangeAspect="1"/>
        </xdr:cNvPicPr>
      </xdr:nvPicPr>
      <xdr:blipFill>
        <a:blip xmlns:r="http://schemas.openxmlformats.org/officeDocument/2006/relationships" r:embed="rId13"/>
        <a:stretch>
          <a:fillRect/>
        </a:stretch>
      </xdr:blipFill>
      <xdr:spPr>
        <a:xfrm>
          <a:off x="2948609" y="32653357"/>
          <a:ext cx="6818243" cy="1218978"/>
        </a:xfrm>
        <a:prstGeom prst="rect">
          <a:avLst/>
        </a:prstGeom>
      </xdr:spPr>
    </xdr:pic>
    <xdr:clientData/>
  </xdr:twoCellAnchor>
  <xdr:twoCellAnchor editAs="oneCell">
    <xdr:from>
      <xdr:col>1</xdr:col>
      <xdr:colOff>66261</xdr:colOff>
      <xdr:row>172</xdr:row>
      <xdr:rowOff>185529</xdr:rowOff>
    </xdr:from>
    <xdr:to>
      <xdr:col>5</xdr:col>
      <xdr:colOff>225287</xdr:colOff>
      <xdr:row>177</xdr:row>
      <xdr:rowOff>165934</xdr:rowOff>
    </xdr:to>
    <xdr:pic>
      <xdr:nvPicPr>
        <xdr:cNvPr id="16" name="Picture 15">
          <a:extLst>
            <a:ext uri="{FF2B5EF4-FFF2-40B4-BE49-F238E27FC236}">
              <a16:creationId xmlns:a16="http://schemas.microsoft.com/office/drawing/2014/main" id="{5DC484B5-BD13-10A6-2E5C-67574B3CAF93}"/>
            </a:ext>
          </a:extLst>
        </xdr:cNvPr>
        <xdr:cNvPicPr>
          <a:picLocks noChangeAspect="1"/>
        </xdr:cNvPicPr>
      </xdr:nvPicPr>
      <xdr:blipFill>
        <a:blip xmlns:r="http://schemas.openxmlformats.org/officeDocument/2006/relationships" r:embed="rId14"/>
        <a:stretch>
          <a:fillRect/>
        </a:stretch>
      </xdr:blipFill>
      <xdr:spPr>
        <a:xfrm>
          <a:off x="198783" y="34694190"/>
          <a:ext cx="4876800" cy="908057"/>
        </a:xfrm>
        <a:prstGeom prst="rect">
          <a:avLst/>
        </a:prstGeom>
      </xdr:spPr>
    </xdr:pic>
    <xdr:clientData/>
  </xdr:twoCellAnchor>
  <xdr:twoCellAnchor editAs="oneCell">
    <xdr:from>
      <xdr:col>5</xdr:col>
      <xdr:colOff>424332</xdr:colOff>
      <xdr:row>173</xdr:row>
      <xdr:rowOff>59635</xdr:rowOff>
    </xdr:from>
    <xdr:to>
      <xdr:col>14</xdr:col>
      <xdr:colOff>324174</xdr:colOff>
      <xdr:row>176</xdr:row>
      <xdr:rowOff>112643</xdr:rowOff>
    </xdr:to>
    <xdr:pic>
      <xdr:nvPicPr>
        <xdr:cNvPr id="17" name="Picture 16">
          <a:extLst>
            <a:ext uri="{FF2B5EF4-FFF2-40B4-BE49-F238E27FC236}">
              <a16:creationId xmlns:a16="http://schemas.microsoft.com/office/drawing/2014/main" id="{F5D4F7E4-D579-66C2-69E5-7C18DAB8A0A3}"/>
            </a:ext>
          </a:extLst>
        </xdr:cNvPr>
        <xdr:cNvPicPr>
          <a:picLocks noChangeAspect="1"/>
        </xdr:cNvPicPr>
      </xdr:nvPicPr>
      <xdr:blipFill>
        <a:blip xmlns:r="http://schemas.openxmlformats.org/officeDocument/2006/relationships" r:embed="rId15"/>
        <a:stretch>
          <a:fillRect/>
        </a:stretch>
      </xdr:blipFill>
      <xdr:spPr>
        <a:xfrm>
          <a:off x="5082471" y="34753826"/>
          <a:ext cx="6772088" cy="609599"/>
        </a:xfrm>
        <a:prstGeom prst="rect">
          <a:avLst/>
        </a:prstGeom>
      </xdr:spPr>
    </xdr:pic>
    <xdr:clientData/>
  </xdr:twoCellAnchor>
  <xdr:twoCellAnchor editAs="oneCell">
    <xdr:from>
      <xdr:col>0</xdr:col>
      <xdr:colOff>86139</xdr:colOff>
      <xdr:row>179</xdr:row>
      <xdr:rowOff>59635</xdr:rowOff>
    </xdr:from>
    <xdr:to>
      <xdr:col>6</xdr:col>
      <xdr:colOff>485623</xdr:colOff>
      <xdr:row>181</xdr:row>
      <xdr:rowOff>145773</xdr:rowOff>
    </xdr:to>
    <xdr:pic>
      <xdr:nvPicPr>
        <xdr:cNvPr id="18" name="Picture 17">
          <a:extLst>
            <a:ext uri="{FF2B5EF4-FFF2-40B4-BE49-F238E27FC236}">
              <a16:creationId xmlns:a16="http://schemas.microsoft.com/office/drawing/2014/main" id="{1AEB5972-F48E-0C6C-09E4-32D3921788EE}"/>
            </a:ext>
          </a:extLst>
        </xdr:cNvPr>
        <xdr:cNvPicPr>
          <a:picLocks noChangeAspect="1"/>
        </xdr:cNvPicPr>
      </xdr:nvPicPr>
      <xdr:blipFill>
        <a:blip xmlns:r="http://schemas.openxmlformats.org/officeDocument/2006/relationships" r:embed="rId16"/>
        <a:stretch>
          <a:fillRect/>
        </a:stretch>
      </xdr:blipFill>
      <xdr:spPr>
        <a:xfrm>
          <a:off x="86139" y="35747739"/>
          <a:ext cx="6071414" cy="457199"/>
        </a:xfrm>
        <a:prstGeom prst="rect">
          <a:avLst/>
        </a:prstGeom>
      </xdr:spPr>
    </xdr:pic>
    <xdr:clientData/>
  </xdr:twoCellAnchor>
  <xdr:twoCellAnchor>
    <xdr:from>
      <xdr:col>8</xdr:col>
      <xdr:colOff>446155</xdr:colOff>
      <xdr:row>129</xdr:row>
      <xdr:rowOff>437322</xdr:rowOff>
    </xdr:from>
    <xdr:to>
      <xdr:col>13</xdr:col>
      <xdr:colOff>549964</xdr:colOff>
      <xdr:row>132</xdr:row>
      <xdr:rowOff>198783</xdr:rowOff>
    </xdr:to>
    <xdr:graphicFrame macro="">
      <xdr:nvGraphicFramePr>
        <xdr:cNvPr id="19" name="Chart 18">
          <a:extLst>
            <a:ext uri="{FF2B5EF4-FFF2-40B4-BE49-F238E27FC236}">
              <a16:creationId xmlns:a16="http://schemas.microsoft.com/office/drawing/2014/main" id="{1A5AC337-E830-3025-EBF1-3E5DCB8B0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7</xdr:col>
      <xdr:colOff>125894</xdr:colOff>
      <xdr:row>181</xdr:row>
      <xdr:rowOff>46384</xdr:rowOff>
    </xdr:from>
    <xdr:ext cx="5824331" cy="1027044"/>
    <xdr:sp macro="" textlink="">
      <xdr:nvSpPr>
        <xdr:cNvPr id="20" name="TextBox 19">
          <a:extLst>
            <a:ext uri="{FF2B5EF4-FFF2-40B4-BE49-F238E27FC236}">
              <a16:creationId xmlns:a16="http://schemas.microsoft.com/office/drawing/2014/main" id="{DC0975E2-79C3-4512-92BC-C9A929D208F1}"/>
            </a:ext>
          </a:extLst>
        </xdr:cNvPr>
        <xdr:cNvSpPr txBox="1"/>
      </xdr:nvSpPr>
      <xdr:spPr>
        <a:xfrm>
          <a:off x="6109251" y="36105549"/>
          <a:ext cx="5824331" cy="1027044"/>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a:t>Eicher Motors uses a range of materials beyond steel and aluminum, including plastics, rubber, copper components, paints, lubricants, and packaging. While volumes aren’t disclosed, the company follows structured sustainability practices, recycling a significant portion of steel, aluminum, plastic, paint waste, and rubber through authorized channels. This reflects a strong ESG focus and a systemic approach to material efficiency and waste management.</a:t>
          </a:r>
          <a:endParaRPr lang="en-IN" sz="1100"/>
        </a:p>
      </xdr:txBody>
    </xdr:sp>
    <xdr:clientData/>
  </xdr:oneCellAnchor>
  <xdr:twoCellAnchor>
    <xdr:from>
      <xdr:col>1</xdr:col>
      <xdr:colOff>46381</xdr:colOff>
      <xdr:row>194</xdr:row>
      <xdr:rowOff>59634</xdr:rowOff>
    </xdr:from>
    <xdr:to>
      <xdr:col>16</xdr:col>
      <xdr:colOff>463826</xdr:colOff>
      <xdr:row>213</xdr:row>
      <xdr:rowOff>119270</xdr:rowOff>
    </xdr:to>
    <xdr:sp macro="" textlink="">
      <xdr:nvSpPr>
        <xdr:cNvPr id="21" name="TextBox 20">
          <a:extLst>
            <a:ext uri="{FF2B5EF4-FFF2-40B4-BE49-F238E27FC236}">
              <a16:creationId xmlns:a16="http://schemas.microsoft.com/office/drawing/2014/main" id="{DC21EDF5-2629-15EE-D897-B7D9A51764B9}"/>
            </a:ext>
          </a:extLst>
        </xdr:cNvPr>
        <xdr:cNvSpPr txBox="1"/>
      </xdr:nvSpPr>
      <xdr:spPr>
        <a:xfrm>
          <a:off x="178903" y="38530695"/>
          <a:ext cx="11913706" cy="3584714"/>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Eicher</a:t>
          </a:r>
          <a:r>
            <a:rPr lang="en-IN" sz="1100" baseline="0"/>
            <a:t> Motor's ~ 97% of COGS comes from Raw materials. Out of the raw materials, ~ 69% comes from Steel &amp; Aluminum and rest ~ 31% comes from others (</a:t>
          </a:r>
          <a:r>
            <a:rPr lang="en-IN" sz="1100">
              <a:solidFill>
                <a:schemeClr val="dk1"/>
              </a:solidFill>
              <a:effectLst/>
              <a:latin typeface="+mn-lt"/>
              <a:ea typeface="+mn-ea"/>
              <a:cs typeface="+mn-cs"/>
            </a:rPr>
            <a:t>including plastics, rubber, copper components, paints, lubricants, and packaging).</a:t>
          </a:r>
        </a:p>
        <a:p>
          <a:endParaRPr lang="en-IN" sz="1100" baseline="0">
            <a:solidFill>
              <a:schemeClr val="dk1"/>
            </a:solidFill>
            <a:effectLst/>
            <a:latin typeface="+mn-lt"/>
            <a:ea typeface="+mn-ea"/>
            <a:cs typeface="+mn-cs"/>
          </a:endParaRPr>
        </a:p>
        <a:p>
          <a:r>
            <a:rPr lang="en-IN" sz="1100" baseline="0">
              <a:solidFill>
                <a:schemeClr val="dk1"/>
              </a:solidFill>
              <a:effectLst/>
              <a:latin typeface="+mn-lt"/>
              <a:ea typeface="+mn-ea"/>
              <a:cs typeface="+mn-cs"/>
            </a:rPr>
            <a:t>As Steel and Aluminum makes uo a larger part, margins are affected by change in price of these commodities. Management also hinted a rise in prices by 20 bps resulted in shrinked margin over last quater acted as a headwind. The </a:t>
          </a:r>
          <a:r>
            <a:rPr lang="en-IN" sz="1100">
              <a:solidFill>
                <a:schemeClr val="dk1"/>
              </a:solidFill>
              <a:effectLst/>
              <a:latin typeface="+mn-lt"/>
              <a:ea typeface="+mn-ea"/>
              <a:cs typeface="+mn-cs"/>
            </a:rPr>
            <a:t>company follows structured sustainability practices, recycling a significant portion of steel, aluminum, plastic, paint waste, and rubber through authorized channels. This reflects a strong ESG focus and a systemic approach to material efficiency and waste management.</a:t>
          </a:r>
        </a:p>
        <a:p>
          <a:endParaRPr lang="en-IN" sz="1100">
            <a:solidFill>
              <a:schemeClr val="dk1"/>
            </a:solidFill>
            <a:effectLst/>
            <a:latin typeface="+mn-lt"/>
            <a:ea typeface="+mn-ea"/>
            <a:cs typeface="+mn-cs"/>
          </a:endParaRPr>
        </a:p>
        <a:p>
          <a:r>
            <a:rPr lang="en-IN" sz="1100">
              <a:solidFill>
                <a:schemeClr val="dk1"/>
              </a:solidFill>
              <a:effectLst/>
              <a:latin typeface="+mn-lt"/>
              <a:ea typeface="+mn-ea"/>
              <a:cs typeface="+mn-cs"/>
            </a:rPr>
            <a:t>The Historical</a:t>
          </a:r>
          <a:r>
            <a:rPr lang="en-IN" sz="1100" baseline="0">
              <a:solidFill>
                <a:schemeClr val="dk1"/>
              </a:solidFill>
              <a:effectLst/>
              <a:latin typeface="+mn-lt"/>
              <a:ea typeface="+mn-ea"/>
              <a:cs typeface="+mn-cs"/>
            </a:rPr>
            <a:t> median and average are close enough(~ 45%), and hence shows stability and rigidness in the Gross Margin. Though Prof. Damodaran's data shows downward skew in Auto industry of Indian (39.15%), Global (21.05%) and Emerging markets (18.34%), it is mainly because it incorporates aggregate Auto industry and not specifically 2 wheeler and CV's. The Consensus estimate also comes to 44.53% on average. </a:t>
          </a:r>
        </a:p>
        <a:p>
          <a:endParaRPr lang="en-IN" sz="1100" baseline="0">
            <a:solidFill>
              <a:schemeClr val="dk1"/>
            </a:solidFill>
            <a:effectLst/>
            <a:latin typeface="+mn-lt"/>
            <a:ea typeface="+mn-ea"/>
            <a:cs typeface="+mn-cs"/>
          </a:endParaRPr>
        </a:p>
        <a:p>
          <a:r>
            <a:rPr lang="en-IN" sz="1100" baseline="0">
              <a:solidFill>
                <a:schemeClr val="dk1"/>
              </a:solidFill>
              <a:effectLst/>
              <a:latin typeface="+mn-lt"/>
              <a:ea typeface="+mn-ea"/>
              <a:cs typeface="+mn-cs"/>
            </a:rPr>
            <a:t>Company focuses on sustainable and local sourcing, with 71% of direct materials procured locally and 55% of purchase value assessed for ESG compliance per SEBI norms. Its approach blends local sourcing, multi-supplier resilience, and strong supplier relationships to ensure efficiency, compatibility, and cost-effectiveness.</a:t>
          </a:r>
        </a:p>
        <a:p>
          <a:endParaRPr lang="en-IN" sz="1100" baseline="0">
            <a:solidFill>
              <a:schemeClr val="dk1"/>
            </a:solidFill>
            <a:effectLst/>
            <a:latin typeface="+mn-lt"/>
            <a:ea typeface="+mn-ea"/>
            <a:cs typeface="+mn-cs"/>
          </a:endParaRPr>
        </a:p>
        <a:p>
          <a:r>
            <a:rPr lang="en-IN" sz="1100" baseline="0">
              <a:solidFill>
                <a:schemeClr val="dk1"/>
              </a:solidFill>
              <a:effectLst/>
              <a:latin typeface="+mn-lt"/>
              <a:ea typeface="+mn-ea"/>
              <a:cs typeface="+mn-cs"/>
            </a:rPr>
            <a:t>Supply chain risks include semiconductor shortages and rising commodity prices, which hurt profitability. Relying on single-source or country-specific suppliers increases concentration risk. However, they actively mitigate this through group procurement, engineering cost reduction, and use of recycled materials.</a:t>
          </a:r>
        </a:p>
        <a:p>
          <a:endParaRPr lang="en-IN" sz="1100" baseline="0">
            <a:solidFill>
              <a:schemeClr val="dk1"/>
            </a:solidFill>
            <a:effectLst/>
            <a:latin typeface="+mn-lt"/>
            <a:ea typeface="+mn-ea"/>
            <a:cs typeface="+mn-cs"/>
          </a:endParaRPr>
        </a:p>
        <a:p>
          <a:r>
            <a:rPr lang="en-IN" sz="1100">
              <a:solidFill>
                <a:schemeClr val="dk1"/>
              </a:solidFill>
              <a:effectLst/>
              <a:latin typeface="+mn-lt"/>
              <a:ea typeface="+mn-ea"/>
              <a:cs typeface="+mn-cs"/>
            </a:rPr>
            <a:t>So</a:t>
          </a:r>
          <a:r>
            <a:rPr lang="en-IN" sz="1100" baseline="0">
              <a:solidFill>
                <a:schemeClr val="dk1"/>
              </a:solidFill>
              <a:effectLst/>
              <a:latin typeface="+mn-lt"/>
              <a:ea typeface="+mn-ea"/>
              <a:cs typeface="+mn-cs"/>
            </a:rPr>
            <a:t> while considering all the factors, I feel </a:t>
          </a:r>
          <a:r>
            <a:rPr lang="en-IN"/>
            <a:t>Near-term normalization post commodity headwinds will give a gross</a:t>
          </a:r>
          <a:r>
            <a:rPr lang="en-IN" baseline="0"/>
            <a:t> margin of 44% for 2026 and as we move ahead, margins will slightly improve because of the EV scale for next 2 years ( 45% for 2027 and 45.5% for 2028). But, given the concentration risk and other factors mentioned, we will have a conservative stance to rest last couple of years at 45%.</a:t>
          </a:r>
          <a:endParaRPr lang="en-IN" sz="1100">
            <a:solidFill>
              <a:schemeClr val="dk1"/>
            </a:solidFill>
            <a:effectLst/>
            <a:latin typeface="+mn-lt"/>
            <a:ea typeface="+mn-ea"/>
            <a:cs typeface="+mn-cs"/>
          </a:endParaRPr>
        </a:p>
      </xdr:txBody>
    </xdr:sp>
    <xdr:clientData/>
  </xdr:twoCellAnchor>
  <xdr:twoCellAnchor>
    <xdr:from>
      <xdr:col>15</xdr:col>
      <xdr:colOff>602974</xdr:colOff>
      <xdr:row>290</xdr:row>
      <xdr:rowOff>13253</xdr:rowOff>
    </xdr:from>
    <xdr:to>
      <xdr:col>21</xdr:col>
      <xdr:colOff>106017</xdr:colOff>
      <xdr:row>300</xdr:row>
      <xdr:rowOff>1327</xdr:rowOff>
    </xdr:to>
    <xdr:graphicFrame macro="">
      <xdr:nvGraphicFramePr>
        <xdr:cNvPr id="23" name="Chart 22">
          <a:extLst>
            <a:ext uri="{FF2B5EF4-FFF2-40B4-BE49-F238E27FC236}">
              <a16:creationId xmlns:a16="http://schemas.microsoft.com/office/drawing/2014/main" id="{01226319-8F6D-2A7C-17BD-B9EA4A716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6624</xdr:colOff>
      <xdr:row>262</xdr:row>
      <xdr:rowOff>66261</xdr:rowOff>
    </xdr:from>
    <xdr:to>
      <xdr:col>16</xdr:col>
      <xdr:colOff>437320</xdr:colOff>
      <xdr:row>265</xdr:row>
      <xdr:rowOff>165652</xdr:rowOff>
    </xdr:to>
    <xdr:sp macro="" textlink="">
      <xdr:nvSpPr>
        <xdr:cNvPr id="24" name="TextBox 23">
          <a:extLst>
            <a:ext uri="{FF2B5EF4-FFF2-40B4-BE49-F238E27FC236}">
              <a16:creationId xmlns:a16="http://schemas.microsoft.com/office/drawing/2014/main" id="{0B1F52A5-D385-45F1-882B-0C7ADA4F98B6}"/>
            </a:ext>
          </a:extLst>
        </xdr:cNvPr>
        <xdr:cNvSpPr txBox="1"/>
      </xdr:nvSpPr>
      <xdr:spPr>
        <a:xfrm>
          <a:off x="139146" y="51219652"/>
          <a:ext cx="11920331" cy="655983"/>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From the historical data analysis,</a:t>
          </a:r>
          <a:r>
            <a:rPr lang="en-IN" sz="1100" baseline="0"/>
            <a:t> we found 3 major expenses which compile 75 to 80% of total SG&amp;A Expense. So we explicitly linked those to revenue and computed their median and average. As we can see, median and average are closely aligned, hence we can safely take it into our forecasting period. The volatilty of these expense is minimal which compliments our assumption. The median of total SG&amp;A expense as a percentage of Sales comes out to be ~19% which is assumed for our forecast period.</a:t>
          </a:r>
          <a:endParaRPr lang="en-IN" sz="1100"/>
        </a:p>
      </xdr:txBody>
    </xdr:sp>
    <xdr:clientData/>
  </xdr:twoCellAnchor>
  <xdr:twoCellAnchor>
    <xdr:from>
      <xdr:col>1</xdr:col>
      <xdr:colOff>6624</xdr:colOff>
      <xdr:row>336</xdr:row>
      <xdr:rowOff>152399</xdr:rowOff>
    </xdr:from>
    <xdr:to>
      <xdr:col>15</xdr:col>
      <xdr:colOff>483704</xdr:colOff>
      <xdr:row>347</xdr:row>
      <xdr:rowOff>33130</xdr:rowOff>
    </xdr:to>
    <xdr:sp macro="" textlink="">
      <xdr:nvSpPr>
        <xdr:cNvPr id="22" name="TextBox 21">
          <a:extLst>
            <a:ext uri="{FF2B5EF4-FFF2-40B4-BE49-F238E27FC236}">
              <a16:creationId xmlns:a16="http://schemas.microsoft.com/office/drawing/2014/main" id="{88DE7E6E-CDBA-2A92-DB5B-47E23785DC18}"/>
            </a:ext>
          </a:extLst>
        </xdr:cNvPr>
        <xdr:cNvSpPr txBox="1"/>
      </xdr:nvSpPr>
      <xdr:spPr>
        <a:xfrm>
          <a:off x="139146" y="65054921"/>
          <a:ext cx="12039601" cy="19215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The Management</a:t>
          </a:r>
          <a:r>
            <a:rPr lang="en-IN" sz="1100" baseline="0"/>
            <a:t> generally increases inventory levels in the months of September to November, to catch up with increase in demand due to festivals like Diwali &amp; Dussehra. Also, they strategically launch new variants around festival season. Apart from this, management hasn't given any guidance on Inventory levels, hence we will rely on our study and consensus estimates. Based on the historical data, inventory levels are kind of stabled after covid 19. The median Inventory turnover ratio is coming out to be 7.68x and the median Inventory days are at 47.5 (</a:t>
          </a:r>
          <a:r>
            <a:rPr lang="en-IN" sz="1100" baseline="0">
              <a:solidFill>
                <a:schemeClr val="dk1"/>
              </a:solidFill>
              <a:effectLst/>
              <a:latin typeface="+mn-lt"/>
              <a:ea typeface="+mn-ea"/>
              <a:cs typeface="+mn-cs"/>
            </a:rPr>
            <a:t>We have taken COGS as the base for calculating inventory days). </a:t>
          </a:r>
        </a:p>
        <a:p>
          <a:endParaRPr lang="en-IN" sz="1100" b="0" i="0" u="none" strike="noStrike" baseline="0">
            <a:solidFill>
              <a:schemeClr val="dk1"/>
            </a:solidFill>
            <a:effectLst/>
            <a:latin typeface="+mn-lt"/>
            <a:ea typeface="+mn-ea"/>
            <a:cs typeface="+mn-cs"/>
          </a:endParaRPr>
        </a:p>
        <a:p>
          <a:r>
            <a:rPr lang="en-IN" sz="1100" b="0" i="0" u="none" strike="noStrike">
              <a:solidFill>
                <a:schemeClr val="dk1"/>
              </a:solidFill>
              <a:effectLst/>
              <a:latin typeface="+mn-lt"/>
              <a:ea typeface="+mn-ea"/>
              <a:cs typeface="+mn-cs"/>
            </a:rPr>
            <a:t>The peers Inventory days averages</a:t>
          </a:r>
          <a:r>
            <a:rPr lang="en-IN" sz="1100" b="0" i="0" u="none" strike="noStrike" baseline="0">
              <a:solidFill>
                <a:schemeClr val="dk1"/>
              </a:solidFill>
              <a:effectLst/>
              <a:latin typeface="+mn-lt"/>
              <a:ea typeface="+mn-ea"/>
              <a:cs typeface="+mn-cs"/>
            </a:rPr>
            <a:t> ~25. Hence we can conclude that Eicher has been keeping inventory levels higher than their peers. While the c</a:t>
          </a:r>
          <a:r>
            <a:rPr lang="en-IN" sz="1100" b="0" i="0" u="none" strike="noStrike">
              <a:solidFill>
                <a:schemeClr val="dk1"/>
              </a:solidFill>
              <a:effectLst/>
              <a:latin typeface="+mn-lt"/>
              <a:ea typeface="+mn-ea"/>
              <a:cs typeface="+mn-cs"/>
            </a:rPr>
            <a:t>onsensus Estimate is considered almost flat from the current levels</a:t>
          </a:r>
          <a:r>
            <a:rPr lang="en-IN" sz="1100" b="0" i="0" u="none" strike="noStrike" baseline="0">
              <a:solidFill>
                <a:schemeClr val="dk1"/>
              </a:solidFill>
              <a:effectLst/>
              <a:latin typeface="+mn-lt"/>
              <a:ea typeface="+mn-ea"/>
              <a:cs typeface="+mn-cs"/>
            </a:rPr>
            <a:t> till the end of forecasting period. </a:t>
          </a:r>
        </a:p>
        <a:p>
          <a:endParaRPr lang="en-IN" sz="1100" b="0" i="0" u="none" strike="noStrike" baseline="0">
            <a:solidFill>
              <a:schemeClr val="dk1"/>
            </a:solidFill>
            <a:effectLst/>
            <a:latin typeface="+mn-lt"/>
            <a:ea typeface="+mn-ea"/>
            <a:cs typeface="+mn-cs"/>
          </a:endParaRPr>
        </a:p>
        <a:p>
          <a:r>
            <a:rPr lang="en-IN" sz="1100" b="0" i="0" u="none" strike="noStrike" baseline="0">
              <a:solidFill>
                <a:schemeClr val="dk1"/>
              </a:solidFill>
              <a:effectLst/>
              <a:latin typeface="+mn-lt"/>
              <a:ea typeface="+mn-ea"/>
              <a:cs typeface="+mn-cs"/>
            </a:rPr>
            <a:t>As Eicher is launching its new EV, the inventory days may certainly increase from the current level of 55 to 60 by 5 days. This is assumed to stay the same for 2 years (2026 &amp; 2027) and then considered to normalize at 55 as we approach ending of the forecasted period. </a:t>
          </a:r>
        </a:p>
      </xdr:txBody>
    </xdr:sp>
    <xdr:clientData/>
  </xdr:twoCellAnchor>
  <xdr:twoCellAnchor editAs="oneCell">
    <xdr:from>
      <xdr:col>1</xdr:col>
      <xdr:colOff>1</xdr:colOff>
      <xdr:row>382</xdr:row>
      <xdr:rowOff>61403</xdr:rowOff>
    </xdr:from>
    <xdr:to>
      <xdr:col>7</xdr:col>
      <xdr:colOff>490330</xdr:colOff>
      <xdr:row>397</xdr:row>
      <xdr:rowOff>0</xdr:rowOff>
    </xdr:to>
    <xdr:pic>
      <xdr:nvPicPr>
        <xdr:cNvPr id="25" name="Picture 24">
          <a:extLst>
            <a:ext uri="{FF2B5EF4-FFF2-40B4-BE49-F238E27FC236}">
              <a16:creationId xmlns:a16="http://schemas.microsoft.com/office/drawing/2014/main" id="{D92B927D-1C18-AC40-2926-6292532BE50E}"/>
            </a:ext>
          </a:extLst>
        </xdr:cNvPr>
        <xdr:cNvPicPr>
          <a:picLocks noChangeAspect="1"/>
        </xdr:cNvPicPr>
      </xdr:nvPicPr>
      <xdr:blipFill>
        <a:blip xmlns:r="http://schemas.openxmlformats.org/officeDocument/2006/relationships" r:embed="rId19"/>
        <a:stretch>
          <a:fillRect/>
        </a:stretch>
      </xdr:blipFill>
      <xdr:spPr>
        <a:xfrm>
          <a:off x="132523" y="73544707"/>
          <a:ext cx="6851372" cy="2721553"/>
        </a:xfrm>
        <a:prstGeom prst="rect">
          <a:avLst/>
        </a:prstGeom>
      </xdr:spPr>
    </xdr:pic>
    <xdr:clientData/>
  </xdr:twoCellAnchor>
  <xdr:twoCellAnchor editAs="oneCell">
    <xdr:from>
      <xdr:col>0</xdr:col>
      <xdr:colOff>39756</xdr:colOff>
      <xdr:row>402</xdr:row>
      <xdr:rowOff>99391</xdr:rowOff>
    </xdr:from>
    <xdr:to>
      <xdr:col>7</xdr:col>
      <xdr:colOff>579172</xdr:colOff>
      <xdr:row>422</xdr:row>
      <xdr:rowOff>56777</xdr:rowOff>
    </xdr:to>
    <xdr:pic>
      <xdr:nvPicPr>
        <xdr:cNvPr id="26" name="Picture 25">
          <a:extLst>
            <a:ext uri="{FF2B5EF4-FFF2-40B4-BE49-F238E27FC236}">
              <a16:creationId xmlns:a16="http://schemas.microsoft.com/office/drawing/2014/main" id="{3B3F8A2A-773D-C4D8-46A9-EFF063D921B9}"/>
            </a:ext>
          </a:extLst>
        </xdr:cNvPr>
        <xdr:cNvPicPr>
          <a:picLocks noChangeAspect="1"/>
        </xdr:cNvPicPr>
      </xdr:nvPicPr>
      <xdr:blipFill>
        <a:blip xmlns:r="http://schemas.openxmlformats.org/officeDocument/2006/relationships" r:embed="rId20"/>
        <a:stretch>
          <a:fillRect/>
        </a:stretch>
      </xdr:blipFill>
      <xdr:spPr>
        <a:xfrm>
          <a:off x="39756" y="77293304"/>
          <a:ext cx="7032981" cy="3667995"/>
        </a:xfrm>
        <a:prstGeom prst="rect">
          <a:avLst/>
        </a:prstGeom>
      </xdr:spPr>
    </xdr:pic>
    <xdr:clientData/>
  </xdr:twoCellAnchor>
  <xdr:twoCellAnchor>
    <xdr:from>
      <xdr:col>1</xdr:col>
      <xdr:colOff>66260</xdr:colOff>
      <xdr:row>423</xdr:row>
      <xdr:rowOff>125895</xdr:rowOff>
    </xdr:from>
    <xdr:to>
      <xdr:col>15</xdr:col>
      <xdr:colOff>477079</xdr:colOff>
      <xdr:row>431</xdr:row>
      <xdr:rowOff>106016</xdr:rowOff>
    </xdr:to>
    <xdr:sp macro="" textlink="">
      <xdr:nvSpPr>
        <xdr:cNvPr id="27" name="TextBox 26">
          <a:extLst>
            <a:ext uri="{FF2B5EF4-FFF2-40B4-BE49-F238E27FC236}">
              <a16:creationId xmlns:a16="http://schemas.microsoft.com/office/drawing/2014/main" id="{ACF0B017-E219-6ECB-A723-AA7522170FB6}"/>
            </a:ext>
          </a:extLst>
        </xdr:cNvPr>
        <xdr:cNvSpPr txBox="1"/>
      </xdr:nvSpPr>
      <xdr:spPr>
        <a:xfrm>
          <a:off x="198782" y="81215947"/>
          <a:ext cx="11973340" cy="146436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Basis our study,</a:t>
          </a:r>
          <a:r>
            <a:rPr lang="en-IN" sz="1100" baseline="0"/>
            <a:t> a major portion (74.1%) of trade receivables are received immediately, and around 22% receivables are collected within 6 months. This shows efficienctly managing the debtors by the management. Also there is no counterparty credit risk, as the sales are diversified across the country. </a:t>
          </a:r>
        </a:p>
        <a:p>
          <a:endParaRPr lang="en-IN" sz="1100" baseline="0"/>
        </a:p>
        <a:p>
          <a:r>
            <a:rPr lang="en-IN" sz="1100" baseline="0"/>
            <a:t>The median receivable turnover ratio is around 89x and the Debtor days are coming to be 4.27. The peers are showing a median of ~20 which states, Eicher is operating its Debtors very efficiently and which can be a differenciating factor. The consensus estimate of debtor days is 13 on average.</a:t>
          </a:r>
        </a:p>
        <a:p>
          <a:endParaRPr lang="en-IN" sz="1100" baseline="0"/>
        </a:p>
        <a:p>
          <a:r>
            <a:rPr lang="en-IN" sz="1100" baseline="0"/>
            <a:t>So, while making forecast, we assumed a constant debtor days of 10 throughout.</a:t>
          </a:r>
        </a:p>
        <a:p>
          <a:endParaRPr lang="en-IN" sz="1100"/>
        </a:p>
      </xdr:txBody>
    </xdr:sp>
    <xdr:clientData/>
  </xdr:twoCellAnchor>
  <xdr:twoCellAnchor editAs="oneCell">
    <xdr:from>
      <xdr:col>0</xdr:col>
      <xdr:colOff>112644</xdr:colOff>
      <xdr:row>519</xdr:row>
      <xdr:rowOff>19878</xdr:rowOff>
    </xdr:from>
    <xdr:to>
      <xdr:col>6</xdr:col>
      <xdr:colOff>543203</xdr:colOff>
      <xdr:row>526</xdr:row>
      <xdr:rowOff>66261</xdr:rowOff>
    </xdr:to>
    <xdr:pic>
      <xdr:nvPicPr>
        <xdr:cNvPr id="28" name="Picture 27">
          <a:extLst>
            <a:ext uri="{FF2B5EF4-FFF2-40B4-BE49-F238E27FC236}">
              <a16:creationId xmlns:a16="http://schemas.microsoft.com/office/drawing/2014/main" id="{4AA19CBB-8183-3AC0-1638-4366AF6E555A}"/>
            </a:ext>
          </a:extLst>
        </xdr:cNvPr>
        <xdr:cNvPicPr>
          <a:picLocks noChangeAspect="1"/>
        </xdr:cNvPicPr>
      </xdr:nvPicPr>
      <xdr:blipFill>
        <a:blip xmlns:r="http://schemas.openxmlformats.org/officeDocument/2006/relationships" r:embed="rId21"/>
        <a:stretch>
          <a:fillRect/>
        </a:stretch>
      </xdr:blipFill>
      <xdr:spPr>
        <a:xfrm>
          <a:off x="112644" y="97502869"/>
          <a:ext cx="6102489" cy="1345096"/>
        </a:xfrm>
        <a:prstGeom prst="rect">
          <a:avLst/>
        </a:prstGeom>
      </xdr:spPr>
    </xdr:pic>
    <xdr:clientData/>
  </xdr:twoCellAnchor>
  <xdr:twoCellAnchor editAs="oneCell">
    <xdr:from>
      <xdr:col>1</xdr:col>
      <xdr:colOff>92766</xdr:colOff>
      <xdr:row>526</xdr:row>
      <xdr:rowOff>177776</xdr:rowOff>
    </xdr:from>
    <xdr:to>
      <xdr:col>6</xdr:col>
      <xdr:colOff>218662</xdr:colOff>
      <xdr:row>532</xdr:row>
      <xdr:rowOff>176082</xdr:rowOff>
    </xdr:to>
    <xdr:pic>
      <xdr:nvPicPr>
        <xdr:cNvPr id="29" name="Picture 28">
          <a:extLst>
            <a:ext uri="{FF2B5EF4-FFF2-40B4-BE49-F238E27FC236}">
              <a16:creationId xmlns:a16="http://schemas.microsoft.com/office/drawing/2014/main" id="{635C6292-4622-1E5F-A757-1614F2EE24B0}"/>
            </a:ext>
          </a:extLst>
        </xdr:cNvPr>
        <xdr:cNvPicPr>
          <a:picLocks noChangeAspect="1"/>
        </xdr:cNvPicPr>
      </xdr:nvPicPr>
      <xdr:blipFill>
        <a:blip xmlns:r="http://schemas.openxmlformats.org/officeDocument/2006/relationships" r:embed="rId22"/>
        <a:stretch>
          <a:fillRect/>
        </a:stretch>
      </xdr:blipFill>
      <xdr:spPr>
        <a:xfrm>
          <a:off x="225288" y="98959480"/>
          <a:ext cx="5665304" cy="1111488"/>
        </a:xfrm>
        <a:prstGeom prst="rect">
          <a:avLst/>
        </a:prstGeom>
      </xdr:spPr>
    </xdr:pic>
    <xdr:clientData/>
  </xdr:twoCellAnchor>
  <xdr:twoCellAnchor editAs="oneCell">
    <xdr:from>
      <xdr:col>0</xdr:col>
      <xdr:colOff>125896</xdr:colOff>
      <xdr:row>535</xdr:row>
      <xdr:rowOff>178905</xdr:rowOff>
    </xdr:from>
    <xdr:to>
      <xdr:col>6</xdr:col>
      <xdr:colOff>410818</xdr:colOff>
      <xdr:row>548</xdr:row>
      <xdr:rowOff>59254</xdr:rowOff>
    </xdr:to>
    <xdr:pic>
      <xdr:nvPicPr>
        <xdr:cNvPr id="30" name="Picture 29">
          <a:extLst>
            <a:ext uri="{FF2B5EF4-FFF2-40B4-BE49-F238E27FC236}">
              <a16:creationId xmlns:a16="http://schemas.microsoft.com/office/drawing/2014/main" id="{E256D5F7-4F84-BD68-F0C8-06CD64A314DC}"/>
            </a:ext>
          </a:extLst>
        </xdr:cNvPr>
        <xdr:cNvPicPr>
          <a:picLocks noChangeAspect="1"/>
        </xdr:cNvPicPr>
      </xdr:nvPicPr>
      <xdr:blipFill>
        <a:blip xmlns:r="http://schemas.openxmlformats.org/officeDocument/2006/relationships" r:embed="rId23"/>
        <a:stretch>
          <a:fillRect/>
        </a:stretch>
      </xdr:blipFill>
      <xdr:spPr>
        <a:xfrm>
          <a:off x="125896" y="100630383"/>
          <a:ext cx="5956852" cy="2292244"/>
        </a:xfrm>
        <a:prstGeom prst="rect">
          <a:avLst/>
        </a:prstGeom>
      </xdr:spPr>
    </xdr:pic>
    <xdr:clientData/>
  </xdr:twoCellAnchor>
  <xdr:twoCellAnchor editAs="oneCell">
    <xdr:from>
      <xdr:col>14</xdr:col>
      <xdr:colOff>278295</xdr:colOff>
      <xdr:row>558</xdr:row>
      <xdr:rowOff>112644</xdr:rowOff>
    </xdr:from>
    <xdr:to>
      <xdr:col>25</xdr:col>
      <xdr:colOff>290442</xdr:colOff>
      <xdr:row>563</xdr:row>
      <xdr:rowOff>92765</xdr:rowOff>
    </xdr:to>
    <xdr:pic>
      <xdr:nvPicPr>
        <xdr:cNvPr id="34" name="Picture 33">
          <a:extLst>
            <a:ext uri="{FF2B5EF4-FFF2-40B4-BE49-F238E27FC236}">
              <a16:creationId xmlns:a16="http://schemas.microsoft.com/office/drawing/2014/main" id="{0052D65D-115F-4BD4-AE8E-99A0A173CC03}"/>
            </a:ext>
          </a:extLst>
        </xdr:cNvPr>
        <xdr:cNvPicPr>
          <a:picLocks noChangeAspect="1"/>
        </xdr:cNvPicPr>
      </xdr:nvPicPr>
      <xdr:blipFill>
        <a:blip xmlns:r="http://schemas.openxmlformats.org/officeDocument/2006/relationships" r:embed="rId24"/>
        <a:stretch>
          <a:fillRect/>
        </a:stretch>
      </xdr:blipFill>
      <xdr:spPr>
        <a:xfrm>
          <a:off x="11999843" y="106368574"/>
          <a:ext cx="6770756" cy="907774"/>
        </a:xfrm>
        <a:prstGeom prst="rect">
          <a:avLst/>
        </a:prstGeom>
      </xdr:spPr>
    </xdr:pic>
    <xdr:clientData/>
  </xdr:twoCellAnchor>
  <xdr:twoCellAnchor>
    <xdr:from>
      <xdr:col>0</xdr:col>
      <xdr:colOff>125896</xdr:colOff>
      <xdr:row>616</xdr:row>
      <xdr:rowOff>99391</xdr:rowOff>
    </xdr:from>
    <xdr:to>
      <xdr:col>15</xdr:col>
      <xdr:colOff>404193</xdr:colOff>
      <xdr:row>618</xdr:row>
      <xdr:rowOff>129540</xdr:rowOff>
    </xdr:to>
    <xdr:sp macro="" textlink="">
      <xdr:nvSpPr>
        <xdr:cNvPr id="32" name="TextBox 31">
          <a:extLst>
            <a:ext uri="{FF2B5EF4-FFF2-40B4-BE49-F238E27FC236}">
              <a16:creationId xmlns:a16="http://schemas.microsoft.com/office/drawing/2014/main" id="{FD9BA750-64CC-42F0-B3B5-E62A2BC2EAD3}"/>
            </a:ext>
          </a:extLst>
        </xdr:cNvPr>
        <xdr:cNvSpPr txBox="1"/>
      </xdr:nvSpPr>
      <xdr:spPr>
        <a:xfrm>
          <a:off x="125896" y="115595731"/>
          <a:ext cx="12576977" cy="39590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i="0"/>
            <a:t>Historically</a:t>
          </a:r>
          <a:r>
            <a:rPr lang="en-IN" sz="1100" i="0" baseline="0"/>
            <a:t>, the median of Capital WIP was 5.5% of Net Fixed assets. Basis our study, CWIP for the forecast period is assumed to be 0. </a:t>
          </a:r>
        </a:p>
        <a:p>
          <a:endParaRPr lang="en-IN" sz="1100" i="0" baseline="0"/>
        </a:p>
        <a:p>
          <a:endParaRPr lang="en-IN" sz="1100" i="0"/>
        </a:p>
      </xdr:txBody>
    </xdr:sp>
    <xdr:clientData/>
  </xdr:twoCellAnchor>
  <xdr:twoCellAnchor>
    <xdr:from>
      <xdr:col>1</xdr:col>
      <xdr:colOff>6626</xdr:colOff>
      <xdr:row>570</xdr:row>
      <xdr:rowOff>66261</xdr:rowOff>
    </xdr:from>
    <xdr:to>
      <xdr:col>15</xdr:col>
      <xdr:colOff>417445</xdr:colOff>
      <xdr:row>577</xdr:row>
      <xdr:rowOff>152399</xdr:rowOff>
    </xdr:to>
    <xdr:sp macro="" textlink="">
      <xdr:nvSpPr>
        <xdr:cNvPr id="33" name="TextBox 32">
          <a:extLst>
            <a:ext uri="{FF2B5EF4-FFF2-40B4-BE49-F238E27FC236}">
              <a16:creationId xmlns:a16="http://schemas.microsoft.com/office/drawing/2014/main" id="{2C7EC63F-A3F3-4155-AF0A-C8F146573191}"/>
            </a:ext>
          </a:extLst>
        </xdr:cNvPr>
        <xdr:cNvSpPr txBox="1"/>
      </xdr:nvSpPr>
      <xdr:spPr>
        <a:xfrm>
          <a:off x="139148" y="108873235"/>
          <a:ext cx="12066106" cy="1384851"/>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Historically, The</a:t>
          </a:r>
          <a:r>
            <a:rPr lang="en-IN" sz="1100" baseline="0"/>
            <a:t> net fixed assets are ~15% of the total assets and t</a:t>
          </a:r>
          <a:r>
            <a:rPr lang="en-IN" sz="1100"/>
            <a:t>he fixed assets have grown at</a:t>
          </a:r>
          <a:r>
            <a:rPr lang="en-IN" sz="1100" baseline="0"/>
            <a:t> a median of ~19%.  The current year depreciation and ammortization amout is considered to be the mainteinance capex, and the remaining is growth capex.</a:t>
          </a:r>
        </a:p>
        <a:p>
          <a:endParaRPr lang="en-IN" sz="1100" i="0" baseline="0"/>
        </a:p>
        <a:p>
          <a:r>
            <a:rPr lang="en-IN" sz="1100" i="0" baseline="0"/>
            <a:t>The management has committed of 1200 - 1300 Cr capex for the next year. The company is mainly focused on EV manufacturing facility, product development, and new things. The Target production of EV - Flying Flea is around 1.5 lacs per year. So our assumption regarding the capex will be 1250 for year 2026. While forecasting capex for the remaining period, we have linked it to sales growth. We have assumed the median of historical Capex % of sales growth to be that of the forecasting period.</a:t>
          </a:r>
        </a:p>
        <a:p>
          <a:r>
            <a:rPr lang="en-IN" sz="1100" i="0" baseline="0"/>
            <a:t>During the terminal year, capex is benchmarked with depreciation (100% maintenance capex) for moderate growth. </a:t>
          </a:r>
        </a:p>
        <a:p>
          <a:endParaRPr lang="en-IN" sz="1100" i="0"/>
        </a:p>
      </xdr:txBody>
    </xdr:sp>
    <xdr:clientData/>
  </xdr:twoCellAnchor>
  <xdr:twoCellAnchor>
    <xdr:from>
      <xdr:col>1</xdr:col>
      <xdr:colOff>0</xdr:colOff>
      <xdr:row>687</xdr:row>
      <xdr:rowOff>86139</xdr:rowOff>
    </xdr:from>
    <xdr:to>
      <xdr:col>15</xdr:col>
      <xdr:colOff>410819</xdr:colOff>
      <xdr:row>690</xdr:row>
      <xdr:rowOff>33131</xdr:rowOff>
    </xdr:to>
    <xdr:sp macro="" textlink="">
      <xdr:nvSpPr>
        <xdr:cNvPr id="31" name="TextBox 30">
          <a:extLst>
            <a:ext uri="{FF2B5EF4-FFF2-40B4-BE49-F238E27FC236}">
              <a16:creationId xmlns:a16="http://schemas.microsoft.com/office/drawing/2014/main" id="{9284E429-1845-4895-A8C5-72A1DD0025A4}"/>
            </a:ext>
          </a:extLst>
        </xdr:cNvPr>
        <xdr:cNvSpPr txBox="1"/>
      </xdr:nvSpPr>
      <xdr:spPr>
        <a:xfrm>
          <a:off x="132522" y="130931478"/>
          <a:ext cx="12258262" cy="503583"/>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i="0" baseline="0"/>
            <a:t>Historically, Trade payables are ~21.4% of COGS. Apart from Covid Years, the payable days were stable at a median ~78 days. The Peers Median was at ~70 days. </a:t>
          </a:r>
        </a:p>
        <a:p>
          <a:r>
            <a:rPr lang="en-IN" sz="1100" i="0" baseline="0"/>
            <a:t>Hence, based on out study, we will take days payable to be 78 days for the forecasting period.</a:t>
          </a:r>
        </a:p>
        <a:p>
          <a:endParaRPr lang="en-IN" sz="1100" i="0" baseline="0"/>
        </a:p>
        <a:p>
          <a:endParaRPr lang="en-IN" sz="1100" i="0"/>
        </a:p>
      </xdr:txBody>
    </xdr:sp>
    <xdr:clientData/>
  </xdr:twoCellAnchor>
  <xdr:twoCellAnchor>
    <xdr:from>
      <xdr:col>1</xdr:col>
      <xdr:colOff>19879</xdr:colOff>
      <xdr:row>723</xdr:row>
      <xdr:rowOff>125895</xdr:rowOff>
    </xdr:from>
    <xdr:to>
      <xdr:col>14</xdr:col>
      <xdr:colOff>477078</xdr:colOff>
      <xdr:row>728</xdr:row>
      <xdr:rowOff>0</xdr:rowOff>
    </xdr:to>
    <xdr:sp macro="" textlink="">
      <xdr:nvSpPr>
        <xdr:cNvPr id="35" name="TextBox 34">
          <a:extLst>
            <a:ext uri="{FF2B5EF4-FFF2-40B4-BE49-F238E27FC236}">
              <a16:creationId xmlns:a16="http://schemas.microsoft.com/office/drawing/2014/main" id="{379FF045-6A90-4F5E-86DE-12C097D2E2F9}"/>
            </a:ext>
          </a:extLst>
        </xdr:cNvPr>
        <xdr:cNvSpPr txBox="1"/>
      </xdr:nvSpPr>
      <xdr:spPr>
        <a:xfrm>
          <a:off x="152401" y="137557565"/>
          <a:ext cx="12039599" cy="801757"/>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i="0">
              <a:solidFill>
                <a:schemeClr val="dk1"/>
              </a:solidFill>
              <a:effectLst/>
              <a:latin typeface="+mn-lt"/>
              <a:ea typeface="+mn-ea"/>
              <a:cs typeface="+mn-cs"/>
            </a:rPr>
            <a:t>Historically,</a:t>
          </a:r>
          <a:r>
            <a:rPr lang="en-IN" sz="1100" i="0" baseline="0">
              <a:solidFill>
                <a:schemeClr val="dk1"/>
              </a:solidFill>
              <a:effectLst/>
              <a:latin typeface="+mn-lt"/>
              <a:ea typeface="+mn-ea"/>
              <a:cs typeface="+mn-cs"/>
            </a:rPr>
            <a:t> The breakup of LT and ST borrowings is 34.3% and 65.7%. </a:t>
          </a:r>
          <a:r>
            <a:rPr lang="en-IN" sz="1100" i="0" baseline="0"/>
            <a:t>LT borrowings are grown at a median of 28.2% and ST at 23.8%. The LT and ST borrowings as a % of Revenue is 0.8% and 2% respectively. The median of Debt to Equity Ratio is 0.03x, Debt to Capital Ratio is 0.03x, Debt to Asset Ratio is 0.02x and Debt to EBITDA Ratio is 0.09x. Management have said </a:t>
          </a:r>
          <a:r>
            <a:rPr lang="en-IN" sz="1100" b="0" i="0" u="none" strike="noStrike">
              <a:solidFill>
                <a:schemeClr val="dk1"/>
              </a:solidFill>
              <a:effectLst/>
              <a:latin typeface="+mn-lt"/>
              <a:ea typeface="+mn-ea"/>
              <a:cs typeface="+mn-cs"/>
            </a:rPr>
            <a:t>Capex will be funded by reserves, No new debt will be taken</a:t>
          </a:r>
          <a:r>
            <a:rPr lang="en-IN"/>
            <a:t> </a:t>
          </a:r>
          <a:endParaRPr lang="en-IN" sz="1100" i="0" baseline="0"/>
        </a:p>
        <a:p>
          <a:r>
            <a:rPr lang="en-IN" sz="1100" i="0" baseline="0"/>
            <a:t>In our assumption, we will link Borrowings to Revenue, and take LT borrowings to be 0.8% of Sales and ST to be 2% of sales. </a:t>
          </a:r>
        </a:p>
        <a:p>
          <a:endParaRPr lang="en-IN" sz="1100" i="0"/>
        </a:p>
      </xdr:txBody>
    </xdr:sp>
    <xdr:clientData/>
  </xdr:twoCellAnchor>
  <xdr:twoCellAnchor editAs="oneCell">
    <xdr:from>
      <xdr:col>1</xdr:col>
      <xdr:colOff>0</xdr:colOff>
      <xdr:row>736</xdr:row>
      <xdr:rowOff>0</xdr:rowOff>
    </xdr:from>
    <xdr:to>
      <xdr:col>2</xdr:col>
      <xdr:colOff>437322</xdr:colOff>
      <xdr:row>743</xdr:row>
      <xdr:rowOff>87599</xdr:rowOff>
    </xdr:to>
    <xdr:pic>
      <xdr:nvPicPr>
        <xdr:cNvPr id="36" name="Picture 35">
          <a:extLst>
            <a:ext uri="{FF2B5EF4-FFF2-40B4-BE49-F238E27FC236}">
              <a16:creationId xmlns:a16="http://schemas.microsoft.com/office/drawing/2014/main" id="{603EEB95-41E3-85CF-4E10-3119E4B39210}"/>
            </a:ext>
          </a:extLst>
        </xdr:cNvPr>
        <xdr:cNvPicPr>
          <a:picLocks noChangeAspect="1"/>
        </xdr:cNvPicPr>
      </xdr:nvPicPr>
      <xdr:blipFill>
        <a:blip xmlns:r="http://schemas.openxmlformats.org/officeDocument/2006/relationships" r:embed="rId25"/>
        <a:stretch>
          <a:fillRect/>
        </a:stretch>
      </xdr:blipFill>
      <xdr:spPr>
        <a:xfrm>
          <a:off x="132522" y="139889948"/>
          <a:ext cx="2398643" cy="1386312"/>
        </a:xfrm>
        <a:prstGeom prst="rect">
          <a:avLst/>
        </a:prstGeom>
      </xdr:spPr>
    </xdr:pic>
    <xdr:clientData/>
  </xdr:twoCellAnchor>
  <xdr:twoCellAnchor>
    <xdr:from>
      <xdr:col>1</xdr:col>
      <xdr:colOff>0</xdr:colOff>
      <xdr:row>746</xdr:row>
      <xdr:rowOff>0</xdr:rowOff>
    </xdr:from>
    <xdr:to>
      <xdr:col>14</xdr:col>
      <xdr:colOff>457199</xdr:colOff>
      <xdr:row>747</xdr:row>
      <xdr:rowOff>152400</xdr:rowOff>
    </xdr:to>
    <xdr:sp macro="" textlink="">
      <xdr:nvSpPr>
        <xdr:cNvPr id="37" name="TextBox 36">
          <a:extLst>
            <a:ext uri="{FF2B5EF4-FFF2-40B4-BE49-F238E27FC236}">
              <a16:creationId xmlns:a16="http://schemas.microsoft.com/office/drawing/2014/main" id="{787FE748-3EE5-4AD0-89C8-036EE558DD10}"/>
            </a:ext>
          </a:extLst>
        </xdr:cNvPr>
        <xdr:cNvSpPr txBox="1"/>
      </xdr:nvSpPr>
      <xdr:spPr>
        <a:xfrm>
          <a:off x="132522" y="141745252"/>
          <a:ext cx="12039599" cy="337931"/>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i="0"/>
            <a:t>We</a:t>
          </a:r>
          <a:r>
            <a:rPr lang="en-IN" sz="1100" i="0" baseline="0"/>
            <a:t> will take Cost of debt based on our calculation done in Valuation of Eicher Motors</a:t>
          </a:r>
        </a:p>
        <a:p>
          <a:endParaRPr lang="en-IN" sz="1100" i="0"/>
        </a:p>
      </xdr:txBody>
    </xdr:sp>
    <xdr:clientData/>
  </xdr:twoCellAnchor>
  <xdr:twoCellAnchor>
    <xdr:from>
      <xdr:col>1</xdr:col>
      <xdr:colOff>0</xdr:colOff>
      <xdr:row>761</xdr:row>
      <xdr:rowOff>83820</xdr:rowOff>
    </xdr:from>
    <xdr:to>
      <xdr:col>14</xdr:col>
      <xdr:colOff>457199</xdr:colOff>
      <xdr:row>763</xdr:row>
      <xdr:rowOff>53340</xdr:rowOff>
    </xdr:to>
    <xdr:sp macro="" textlink="">
      <xdr:nvSpPr>
        <xdr:cNvPr id="38" name="TextBox 37">
          <a:extLst>
            <a:ext uri="{FF2B5EF4-FFF2-40B4-BE49-F238E27FC236}">
              <a16:creationId xmlns:a16="http://schemas.microsoft.com/office/drawing/2014/main" id="{3C41CE20-7C1E-4EC5-B847-D00A8C27D60E}"/>
            </a:ext>
          </a:extLst>
        </xdr:cNvPr>
        <xdr:cNvSpPr txBox="1"/>
      </xdr:nvSpPr>
      <xdr:spPr>
        <a:xfrm>
          <a:off x="129540" y="142654020"/>
          <a:ext cx="12054839" cy="33528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i="0"/>
            <a:t>We</a:t>
          </a:r>
          <a:r>
            <a:rPr lang="en-IN" sz="1100" i="0" baseline="0"/>
            <a:t> have assumed that Eicher will initially have 30% dividend &amp;</a:t>
          </a:r>
          <a:r>
            <a:rPr lang="en-IN" sz="1100" i="0"/>
            <a:t> will</a:t>
          </a:r>
          <a:r>
            <a:rPr lang="en-IN" sz="1100" i="0" baseline="0"/>
            <a:t> gradually increase dividend payout by 10%. This is because company will approach maturity.</a:t>
          </a:r>
        </a:p>
        <a:p>
          <a:endParaRPr lang="en-IN" sz="1100" i="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122689</xdr:colOff>
      <xdr:row>4</xdr:row>
      <xdr:rowOff>72887</xdr:rowOff>
    </xdr:from>
    <xdr:to>
      <xdr:col>7</xdr:col>
      <xdr:colOff>359062</xdr:colOff>
      <xdr:row>10</xdr:row>
      <xdr:rowOff>52469</xdr:rowOff>
    </xdr:to>
    <xdr:pic>
      <xdr:nvPicPr>
        <xdr:cNvPr id="3" name="Picture 2">
          <a:extLst>
            <a:ext uri="{FF2B5EF4-FFF2-40B4-BE49-F238E27FC236}">
              <a16:creationId xmlns:a16="http://schemas.microsoft.com/office/drawing/2014/main" id="{FB338B2C-4563-D8B3-9263-3B2212814EA7}"/>
            </a:ext>
          </a:extLst>
        </xdr:cNvPr>
        <xdr:cNvPicPr>
          <a:picLocks noChangeAspect="1"/>
        </xdr:cNvPicPr>
      </xdr:nvPicPr>
      <xdr:blipFill>
        <a:blip xmlns:r="http://schemas.openxmlformats.org/officeDocument/2006/relationships" r:embed="rId1"/>
        <a:stretch>
          <a:fillRect/>
        </a:stretch>
      </xdr:blipFill>
      <xdr:spPr>
        <a:xfrm>
          <a:off x="255211" y="4353339"/>
          <a:ext cx="5252321" cy="1092765"/>
        </a:xfrm>
        <a:prstGeom prst="rect">
          <a:avLst/>
        </a:prstGeom>
      </xdr:spPr>
    </xdr:pic>
    <xdr:clientData/>
  </xdr:twoCellAnchor>
  <xdr:twoCellAnchor editAs="oneCell">
    <xdr:from>
      <xdr:col>10</xdr:col>
      <xdr:colOff>274588</xdr:colOff>
      <xdr:row>1</xdr:row>
      <xdr:rowOff>72886</xdr:rowOff>
    </xdr:from>
    <xdr:to>
      <xdr:col>16</xdr:col>
      <xdr:colOff>127131</xdr:colOff>
      <xdr:row>10</xdr:row>
      <xdr:rowOff>139147</xdr:rowOff>
    </xdr:to>
    <xdr:pic>
      <xdr:nvPicPr>
        <xdr:cNvPr id="4" name="Picture 3">
          <a:extLst>
            <a:ext uri="{FF2B5EF4-FFF2-40B4-BE49-F238E27FC236}">
              <a16:creationId xmlns:a16="http://schemas.microsoft.com/office/drawing/2014/main" id="{8B2D7BF8-0593-0DC5-D8F2-E6F9A339A122}"/>
            </a:ext>
          </a:extLst>
        </xdr:cNvPr>
        <xdr:cNvPicPr>
          <a:picLocks noChangeAspect="1"/>
        </xdr:cNvPicPr>
      </xdr:nvPicPr>
      <xdr:blipFill>
        <a:blip xmlns:r="http://schemas.openxmlformats.org/officeDocument/2006/relationships" r:embed="rId2"/>
        <a:stretch>
          <a:fillRect/>
        </a:stretch>
      </xdr:blipFill>
      <xdr:spPr>
        <a:xfrm>
          <a:off x="7251858" y="3969025"/>
          <a:ext cx="3510143" cy="1762540"/>
        </a:xfrm>
        <a:prstGeom prst="rect">
          <a:avLst/>
        </a:prstGeom>
      </xdr:spPr>
    </xdr:pic>
    <xdr:clientData/>
  </xdr:twoCellAnchor>
  <xdr:twoCellAnchor editAs="oneCell">
    <xdr:from>
      <xdr:col>1</xdr:col>
      <xdr:colOff>1</xdr:colOff>
      <xdr:row>27</xdr:row>
      <xdr:rowOff>1</xdr:rowOff>
    </xdr:from>
    <xdr:to>
      <xdr:col>4</xdr:col>
      <xdr:colOff>26259</xdr:colOff>
      <xdr:row>39</xdr:row>
      <xdr:rowOff>72886</xdr:rowOff>
    </xdr:to>
    <xdr:pic>
      <xdr:nvPicPr>
        <xdr:cNvPr id="5" name="Picture 4" descr="ourworldindata.org/graph...">
          <a:extLst>
            <a:ext uri="{FF2B5EF4-FFF2-40B4-BE49-F238E27FC236}">
              <a16:creationId xmlns:a16="http://schemas.microsoft.com/office/drawing/2014/main" id="{2D1CF919-6216-5B68-D9D9-E13B17F0BF9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2523" y="8401879"/>
          <a:ext cx="3213406" cy="2299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318507</xdr:colOff>
      <xdr:row>26</xdr:row>
      <xdr:rowOff>165652</xdr:rowOff>
    </xdr:from>
    <xdr:to>
      <xdr:col>9</xdr:col>
      <xdr:colOff>409060</xdr:colOff>
      <xdr:row>38</xdr:row>
      <xdr:rowOff>185530</xdr:rowOff>
    </xdr:to>
    <xdr:pic>
      <xdr:nvPicPr>
        <xdr:cNvPr id="6" name="Picture 5" descr="ourworldindata.org/graph...">
          <a:extLst>
            <a:ext uri="{FF2B5EF4-FFF2-40B4-BE49-F238E27FC236}">
              <a16:creationId xmlns:a16="http://schemas.microsoft.com/office/drawing/2014/main" id="{75998F79-8A3F-4150-9346-E9FB10AC422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638177" y="8753061"/>
          <a:ext cx="3138553" cy="224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304800</xdr:colOff>
      <xdr:row>44</xdr:row>
      <xdr:rowOff>121921</xdr:rowOff>
    </xdr:to>
    <xdr:sp macro="" textlink="">
      <xdr:nvSpPr>
        <xdr:cNvPr id="2051" name="AutoShape 3" descr="researchgate.net/figure/...">
          <a:extLst>
            <a:ext uri="{FF2B5EF4-FFF2-40B4-BE49-F238E27FC236}">
              <a16:creationId xmlns:a16="http://schemas.microsoft.com/office/drawing/2014/main" id="{A5FB785D-DB3E-14F0-A383-CB8151D3D188}"/>
            </a:ext>
          </a:extLst>
        </xdr:cNvPr>
        <xdr:cNvSpPr>
          <a:spLocks noChangeAspect="1" noChangeArrowheads="1"/>
        </xdr:cNvSpPr>
      </xdr:nvSpPr>
      <xdr:spPr bwMode="auto">
        <a:xfrm>
          <a:off x="129540" y="115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46383</xdr:colOff>
      <xdr:row>43</xdr:row>
      <xdr:rowOff>145774</xdr:rowOff>
    </xdr:from>
    <xdr:to>
      <xdr:col>2</xdr:col>
      <xdr:colOff>543562</xdr:colOff>
      <xdr:row>51</xdr:row>
      <xdr:rowOff>152401</xdr:rowOff>
    </xdr:to>
    <xdr:pic>
      <xdr:nvPicPr>
        <xdr:cNvPr id="7" name="Picture 6" descr="researchgate.net/figure/...">
          <a:extLst>
            <a:ext uri="{FF2B5EF4-FFF2-40B4-BE49-F238E27FC236}">
              <a16:creationId xmlns:a16="http://schemas.microsoft.com/office/drawing/2014/main" id="{2A4F708D-D0E2-B161-2E32-117E1F5A654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8905" y="11900452"/>
          <a:ext cx="2465127" cy="1490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66260</xdr:colOff>
      <xdr:row>59</xdr:row>
      <xdr:rowOff>33131</xdr:rowOff>
    </xdr:from>
    <xdr:to>
      <xdr:col>9</xdr:col>
      <xdr:colOff>267599</xdr:colOff>
      <xdr:row>64</xdr:row>
      <xdr:rowOff>27579</xdr:rowOff>
    </xdr:to>
    <xdr:pic>
      <xdr:nvPicPr>
        <xdr:cNvPr id="8" name="Picture 7">
          <a:extLst>
            <a:ext uri="{FF2B5EF4-FFF2-40B4-BE49-F238E27FC236}">
              <a16:creationId xmlns:a16="http://schemas.microsoft.com/office/drawing/2014/main" id="{6CA615A1-7425-377E-0EA5-730F9A682E7A}"/>
            </a:ext>
          </a:extLst>
        </xdr:cNvPr>
        <xdr:cNvPicPr>
          <a:picLocks noChangeAspect="1"/>
        </xdr:cNvPicPr>
      </xdr:nvPicPr>
      <xdr:blipFill>
        <a:blip xmlns:r="http://schemas.openxmlformats.org/officeDocument/2006/relationships" r:embed="rId6"/>
        <a:stretch>
          <a:fillRect/>
        </a:stretch>
      </xdr:blipFill>
      <xdr:spPr>
        <a:xfrm>
          <a:off x="66260" y="14769548"/>
          <a:ext cx="6569009" cy="922100"/>
        </a:xfrm>
        <a:prstGeom prst="rect">
          <a:avLst/>
        </a:prstGeom>
      </xdr:spPr>
    </xdr:pic>
    <xdr:clientData/>
  </xdr:twoCellAnchor>
  <xdr:twoCellAnchor editAs="oneCell">
    <xdr:from>
      <xdr:col>10</xdr:col>
      <xdr:colOff>114816</xdr:colOff>
      <xdr:row>27</xdr:row>
      <xdr:rowOff>19877</xdr:rowOff>
    </xdr:from>
    <xdr:to>
      <xdr:col>16</xdr:col>
      <xdr:colOff>107504</xdr:colOff>
      <xdr:row>39</xdr:row>
      <xdr:rowOff>145772</xdr:rowOff>
    </xdr:to>
    <xdr:pic>
      <xdr:nvPicPr>
        <xdr:cNvPr id="9" name="Picture 8">
          <a:extLst>
            <a:ext uri="{FF2B5EF4-FFF2-40B4-BE49-F238E27FC236}">
              <a16:creationId xmlns:a16="http://schemas.microsoft.com/office/drawing/2014/main" id="{D042623A-9798-C04B-F21E-B16C66CE194F}"/>
            </a:ext>
          </a:extLst>
        </xdr:cNvPr>
        <xdr:cNvPicPr>
          <a:picLocks noChangeAspect="1"/>
        </xdr:cNvPicPr>
      </xdr:nvPicPr>
      <xdr:blipFill>
        <a:blip xmlns:r="http://schemas.openxmlformats.org/officeDocument/2006/relationships" r:embed="rId7"/>
        <a:stretch>
          <a:fillRect/>
        </a:stretch>
      </xdr:blipFill>
      <xdr:spPr>
        <a:xfrm>
          <a:off x="7092086" y="8792816"/>
          <a:ext cx="3650288" cy="2352261"/>
        </a:xfrm>
        <a:prstGeom prst="rect">
          <a:avLst/>
        </a:prstGeom>
      </xdr:spPr>
    </xdr:pic>
    <xdr:clientData/>
  </xdr:twoCellAnchor>
  <xdr:twoCellAnchor editAs="oneCell">
    <xdr:from>
      <xdr:col>0</xdr:col>
      <xdr:colOff>106019</xdr:colOff>
      <xdr:row>74</xdr:row>
      <xdr:rowOff>119269</xdr:rowOff>
    </xdr:from>
    <xdr:to>
      <xdr:col>3</xdr:col>
      <xdr:colOff>53647</xdr:colOff>
      <xdr:row>84</xdr:row>
      <xdr:rowOff>99392</xdr:rowOff>
    </xdr:to>
    <xdr:pic>
      <xdr:nvPicPr>
        <xdr:cNvPr id="10" name="Picture 9">
          <a:extLst>
            <a:ext uri="{FF2B5EF4-FFF2-40B4-BE49-F238E27FC236}">
              <a16:creationId xmlns:a16="http://schemas.microsoft.com/office/drawing/2014/main" id="{1BF51ADE-CEDC-898E-C9D4-6A6DE7D51C5C}"/>
            </a:ext>
          </a:extLst>
        </xdr:cNvPr>
        <xdr:cNvPicPr>
          <a:picLocks noChangeAspect="1"/>
        </xdr:cNvPicPr>
      </xdr:nvPicPr>
      <xdr:blipFill>
        <a:blip xmlns:r="http://schemas.openxmlformats.org/officeDocument/2006/relationships" r:embed="rId8"/>
        <a:stretch>
          <a:fillRect/>
        </a:stretch>
      </xdr:blipFill>
      <xdr:spPr>
        <a:xfrm>
          <a:off x="106019" y="17665147"/>
          <a:ext cx="2657698" cy="1835427"/>
        </a:xfrm>
        <a:prstGeom prst="rect">
          <a:avLst/>
        </a:prstGeom>
      </xdr:spPr>
    </xdr:pic>
    <xdr:clientData/>
  </xdr:twoCellAnchor>
  <xdr:twoCellAnchor editAs="oneCell">
    <xdr:from>
      <xdr:col>1</xdr:col>
      <xdr:colOff>30721</xdr:colOff>
      <xdr:row>92</xdr:row>
      <xdr:rowOff>33130</xdr:rowOff>
    </xdr:from>
    <xdr:to>
      <xdr:col>6</xdr:col>
      <xdr:colOff>156835</xdr:colOff>
      <xdr:row>106</xdr:row>
      <xdr:rowOff>59761</xdr:rowOff>
    </xdr:to>
    <xdr:pic>
      <xdr:nvPicPr>
        <xdr:cNvPr id="11" name="Picture 10">
          <a:extLst>
            <a:ext uri="{FF2B5EF4-FFF2-40B4-BE49-F238E27FC236}">
              <a16:creationId xmlns:a16="http://schemas.microsoft.com/office/drawing/2014/main" id="{7354D997-AC3B-F4DF-4409-808CB9D3DD9F}"/>
            </a:ext>
          </a:extLst>
        </xdr:cNvPr>
        <xdr:cNvPicPr>
          <a:picLocks noChangeAspect="1"/>
        </xdr:cNvPicPr>
      </xdr:nvPicPr>
      <xdr:blipFill>
        <a:blip xmlns:r="http://schemas.openxmlformats.org/officeDocument/2006/relationships" r:embed="rId9"/>
        <a:stretch>
          <a:fillRect/>
        </a:stretch>
      </xdr:blipFill>
      <xdr:spPr>
        <a:xfrm>
          <a:off x="163243" y="20931808"/>
          <a:ext cx="4532462" cy="2624057"/>
        </a:xfrm>
        <a:prstGeom prst="rect">
          <a:avLst/>
        </a:prstGeom>
      </xdr:spPr>
    </xdr:pic>
    <xdr:clientData/>
  </xdr:twoCellAnchor>
  <xdr:oneCellAnchor>
    <xdr:from>
      <xdr:col>1</xdr:col>
      <xdr:colOff>748748</xdr:colOff>
      <xdr:row>98</xdr:row>
      <xdr:rowOff>86139</xdr:rowOff>
    </xdr:from>
    <xdr:ext cx="1974574" cy="264560"/>
    <xdr:sp macro="" textlink="">
      <xdr:nvSpPr>
        <xdr:cNvPr id="12" name="TextBox 11">
          <a:extLst>
            <a:ext uri="{FF2B5EF4-FFF2-40B4-BE49-F238E27FC236}">
              <a16:creationId xmlns:a16="http://schemas.microsoft.com/office/drawing/2014/main" id="{D331DAB1-6B9F-9B6D-643F-08F314013506}"/>
            </a:ext>
          </a:extLst>
        </xdr:cNvPr>
        <xdr:cNvSpPr txBox="1"/>
      </xdr:nvSpPr>
      <xdr:spPr>
        <a:xfrm>
          <a:off x="881270" y="22098000"/>
          <a:ext cx="19745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India's Consumer Spending</a:t>
          </a:r>
        </a:p>
      </xdr:txBody>
    </xdr:sp>
    <xdr:clientData/>
  </xdr:oneCellAnchor>
  <xdr:twoCellAnchor editAs="oneCell">
    <xdr:from>
      <xdr:col>0</xdr:col>
      <xdr:colOff>119271</xdr:colOff>
      <xdr:row>116</xdr:row>
      <xdr:rowOff>46383</xdr:rowOff>
    </xdr:from>
    <xdr:to>
      <xdr:col>9</xdr:col>
      <xdr:colOff>167177</xdr:colOff>
      <xdr:row>118</xdr:row>
      <xdr:rowOff>99392</xdr:rowOff>
    </xdr:to>
    <xdr:pic>
      <xdr:nvPicPr>
        <xdr:cNvPr id="13" name="Picture 12">
          <a:extLst>
            <a:ext uri="{FF2B5EF4-FFF2-40B4-BE49-F238E27FC236}">
              <a16:creationId xmlns:a16="http://schemas.microsoft.com/office/drawing/2014/main" id="{3BD5E3FA-7DF1-AA25-1718-9DA2E6CB57BA}"/>
            </a:ext>
          </a:extLst>
        </xdr:cNvPr>
        <xdr:cNvPicPr>
          <a:picLocks noChangeAspect="1"/>
        </xdr:cNvPicPr>
      </xdr:nvPicPr>
      <xdr:blipFill>
        <a:blip xmlns:r="http://schemas.openxmlformats.org/officeDocument/2006/relationships" r:embed="rId10"/>
        <a:stretch>
          <a:fillRect/>
        </a:stretch>
      </xdr:blipFill>
      <xdr:spPr>
        <a:xfrm>
          <a:off x="119271" y="25424296"/>
          <a:ext cx="6415576" cy="424070"/>
        </a:xfrm>
        <a:prstGeom prst="rect">
          <a:avLst/>
        </a:prstGeom>
      </xdr:spPr>
    </xdr:pic>
    <xdr:clientData/>
  </xdr:twoCellAnchor>
  <xdr:twoCellAnchor editAs="oneCell">
    <xdr:from>
      <xdr:col>1</xdr:col>
      <xdr:colOff>119271</xdr:colOff>
      <xdr:row>127</xdr:row>
      <xdr:rowOff>172279</xdr:rowOff>
    </xdr:from>
    <xdr:to>
      <xdr:col>7</xdr:col>
      <xdr:colOff>153443</xdr:colOff>
      <xdr:row>146</xdr:row>
      <xdr:rowOff>151076</xdr:rowOff>
    </xdr:to>
    <xdr:pic>
      <xdr:nvPicPr>
        <xdr:cNvPr id="14" name="Picture 13">
          <a:extLst>
            <a:ext uri="{FF2B5EF4-FFF2-40B4-BE49-F238E27FC236}">
              <a16:creationId xmlns:a16="http://schemas.microsoft.com/office/drawing/2014/main" id="{D6E8C7BE-AB63-42A9-BDFD-49B125E5E470}"/>
            </a:ext>
          </a:extLst>
        </xdr:cNvPr>
        <xdr:cNvPicPr>
          <a:picLocks noChangeAspect="1"/>
        </xdr:cNvPicPr>
      </xdr:nvPicPr>
      <xdr:blipFill>
        <a:blip xmlns:r="http://schemas.openxmlformats.org/officeDocument/2006/relationships" r:embed="rId11"/>
        <a:stretch>
          <a:fillRect/>
        </a:stretch>
      </xdr:blipFill>
      <xdr:spPr>
        <a:xfrm>
          <a:off x="251793" y="27617531"/>
          <a:ext cx="5050120" cy="35038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17585</xdr:colOff>
      <xdr:row>24</xdr:row>
      <xdr:rowOff>56031</xdr:rowOff>
    </xdr:from>
    <xdr:to>
      <xdr:col>14</xdr:col>
      <xdr:colOff>1182090</xdr:colOff>
      <xdr:row>47</xdr:row>
      <xdr:rowOff>127082</xdr:rowOff>
    </xdr:to>
    <xdr:pic>
      <xdr:nvPicPr>
        <xdr:cNvPr id="2" name="Picture 1">
          <a:extLst>
            <a:ext uri="{FF2B5EF4-FFF2-40B4-BE49-F238E27FC236}">
              <a16:creationId xmlns:a16="http://schemas.microsoft.com/office/drawing/2014/main" id="{1C75CCDA-15C5-4C25-964E-DFD504AB4225}"/>
            </a:ext>
          </a:extLst>
        </xdr:cNvPr>
        <xdr:cNvPicPr>
          <a:picLocks noChangeAspect="1"/>
        </xdr:cNvPicPr>
      </xdr:nvPicPr>
      <xdr:blipFill>
        <a:blip xmlns:r="http://schemas.openxmlformats.org/officeDocument/2006/relationships" r:embed="rId1"/>
        <a:stretch>
          <a:fillRect/>
        </a:stretch>
      </xdr:blipFill>
      <xdr:spPr>
        <a:xfrm>
          <a:off x="8006862" y="4440462"/>
          <a:ext cx="6451124" cy="4125282"/>
        </a:xfrm>
        <a:prstGeom prst="rect">
          <a:avLst/>
        </a:prstGeom>
      </xdr:spPr>
    </xdr:pic>
    <xdr:clientData/>
  </xdr:twoCellAnchor>
  <xdr:twoCellAnchor editAs="oneCell">
    <xdr:from>
      <xdr:col>8</xdr:col>
      <xdr:colOff>23934</xdr:colOff>
      <xdr:row>24</xdr:row>
      <xdr:rowOff>68887</xdr:rowOff>
    </xdr:from>
    <xdr:to>
      <xdr:col>14</xdr:col>
      <xdr:colOff>428888</xdr:colOff>
      <xdr:row>44</xdr:row>
      <xdr:rowOff>135511</xdr:rowOff>
    </xdr:to>
    <xdr:pic>
      <xdr:nvPicPr>
        <xdr:cNvPr id="3" name="Picture 2">
          <a:extLst>
            <a:ext uri="{FF2B5EF4-FFF2-40B4-BE49-F238E27FC236}">
              <a16:creationId xmlns:a16="http://schemas.microsoft.com/office/drawing/2014/main" id="{3637F1E8-BC49-4610-B237-AE86E8FE3DE1}"/>
            </a:ext>
          </a:extLst>
        </xdr:cNvPr>
        <xdr:cNvPicPr>
          <a:picLocks noChangeAspect="1"/>
        </xdr:cNvPicPr>
      </xdr:nvPicPr>
      <xdr:blipFill>
        <a:blip xmlns:r="http://schemas.openxmlformats.org/officeDocument/2006/relationships" r:embed="rId2"/>
        <a:stretch>
          <a:fillRect/>
        </a:stretch>
      </xdr:blipFill>
      <xdr:spPr>
        <a:xfrm>
          <a:off x="8024934" y="4501187"/>
          <a:ext cx="5707204" cy="36924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8" Type="http://schemas.openxmlformats.org/officeDocument/2006/relationships/hyperlink" Target="https://www.techsciresearch.com/news/7765-india-two-wheeler-market" TargetMode="External"/><Relationship Id="rId13" Type="http://schemas.openxmlformats.org/officeDocument/2006/relationships/hyperlink" Target="https://simplywall.st/stocks/in/automobiles/nse-eichermot/eicher-motors-shares/news/eicher-motors-full-year-2025-earnings-beats-expectations" TargetMode="External"/><Relationship Id="rId18" Type="http://schemas.openxmlformats.org/officeDocument/2006/relationships/hyperlink" Target="https://www.bseindia.com/xml-data/corpfiling/AttachHis/717238ca-0a65-4a34-9441-893ddeea9f2f.pdf" TargetMode="External"/><Relationship Id="rId26" Type="http://schemas.openxmlformats.org/officeDocument/2006/relationships/hyperlink" Target="Eicher%20-%20AR%2024.pdf" TargetMode="External"/><Relationship Id="rId3" Type="http://schemas.openxmlformats.org/officeDocument/2006/relationships/hyperlink" Target="https://www.ibef.org/industry/india-automobiles" TargetMode="External"/><Relationship Id="rId21" Type="http://schemas.openxmlformats.org/officeDocument/2006/relationships/hyperlink" Target="https://www.bseindia.com/xml-data/corpfiling/AttachHis/aa8bc404-031b-4df6-8ebd-8c7b986a8ae1.pdf" TargetMode="External"/><Relationship Id="rId7" Type="http://schemas.openxmlformats.org/officeDocument/2006/relationships/hyperlink" Target="https://markwideresearch.com/press-release/india-two-wheeler-market-riding-towards-remarkable-growth-with-a-projected-cagr-of-8-7-from-2023-to-2030/" TargetMode="External"/><Relationship Id="rId12" Type="http://schemas.openxmlformats.org/officeDocument/2006/relationships/hyperlink" Target="https://www.ft.com/content/d69657ee-6cb6-43be-918a-a621f76e223d" TargetMode="External"/><Relationship Id="rId17" Type="http://schemas.openxmlformats.org/officeDocument/2006/relationships/hyperlink" Target="https://www.eicher.in/content/dam/eicher-motors/investor/corporate-governance/business-responsibility-report/Business-Responsibility-and-Sustainability-Report_2022-2023.pdf?" TargetMode="External"/><Relationship Id="rId25" Type="http://schemas.openxmlformats.org/officeDocument/2006/relationships/hyperlink" Target="https://trendlyne.com/research-reports/stock/360/EICHERMOT/eicher-motors-ltd/" TargetMode="External"/><Relationship Id="rId2" Type="http://schemas.openxmlformats.org/officeDocument/2006/relationships/hyperlink" Target="https://www.statista.com/outlook/mmo/motorcycles/india" TargetMode="External"/><Relationship Id="rId16" Type="http://schemas.openxmlformats.org/officeDocument/2006/relationships/hyperlink" Target="https://cdn-media.screener.in/concalls/77fb479f-d1a5-4363-80e1-4372c970cf6e.pdf" TargetMode="External"/><Relationship Id="rId20" Type="http://schemas.openxmlformats.org/officeDocument/2006/relationships/hyperlink" Target="../../Valuation%20-%20Eicher%20Motors/0.%20Co.%20Research/Eicher%20-%20AR%2024.pdf" TargetMode="External"/><Relationship Id="rId29" Type="http://schemas.openxmlformats.org/officeDocument/2006/relationships/printerSettings" Target="../printerSettings/printerSettings8.bin"/><Relationship Id="rId1" Type="http://schemas.openxmlformats.org/officeDocument/2006/relationships/hyperlink" Target="https://www.marketresearchfuture.com/reports/india-two-wheeler-market-21400" TargetMode="External"/><Relationship Id="rId6" Type="http://schemas.openxmlformats.org/officeDocument/2006/relationships/hyperlink" Target="https://www.verifiedmarketresearch.com/product/india-two-wheeler-market/" TargetMode="External"/><Relationship Id="rId11" Type="http://schemas.openxmlformats.org/officeDocument/2006/relationships/hyperlink" Target="https://www.mordorintelligence.com/industry-reports/india-two-wheeler-market" TargetMode="External"/><Relationship Id="rId24" Type="http://schemas.openxmlformats.org/officeDocument/2006/relationships/hyperlink" Target="https://trendlyne.com/research-reports/stock/360/EICHERMOT/eicher-motors-ltd/" TargetMode="External"/><Relationship Id="rId5" Type="http://schemas.openxmlformats.org/officeDocument/2006/relationships/hyperlink" Target="https://www.imarcgroup.com/india-two-wheeler-market" TargetMode="External"/><Relationship Id="rId15" Type="http://schemas.openxmlformats.org/officeDocument/2006/relationships/hyperlink" Target="https://www.mordorintelligence.com/industry-reports/india-commercial-vehicles-market" TargetMode="External"/><Relationship Id="rId23" Type="http://schemas.openxmlformats.org/officeDocument/2006/relationships/hyperlink" Target="https://trendlyne.com/research-reports/stock/360/EICHERMOT/eicher-motors-ltd/" TargetMode="External"/><Relationship Id="rId28" Type="http://schemas.openxmlformats.org/officeDocument/2006/relationships/hyperlink" Target="https://trendlyne.com/research-reports/stock/360/EICHERMOT/eicher-motors-ltd/" TargetMode="External"/><Relationship Id="rId10" Type="http://schemas.openxmlformats.org/officeDocument/2006/relationships/hyperlink" Target="https://www.psmarketresearch.com/market-analysis/india-electric-scooter-and-motorcycle-market" TargetMode="External"/><Relationship Id="rId19" Type="http://schemas.openxmlformats.org/officeDocument/2006/relationships/hyperlink" Target="https://pages.stern.nyu.edu/~adamodar/" TargetMode="External"/><Relationship Id="rId4" Type="http://schemas.openxmlformats.org/officeDocument/2006/relationships/hyperlink" Target="https://www.angelone.in/news/overview-indian-two-wheeler-automobile-manufacturing-industry" TargetMode="External"/><Relationship Id="rId9" Type="http://schemas.openxmlformats.org/officeDocument/2006/relationships/hyperlink" Target="https://rss.globenewswire.com/news-release/2024/03/26/2852640/28124/en/India-Two-Wheeler-Market-2023-2029-A-16-63-Billion-Market-Opportunity-Vehicle-Type-Propulsion-Type-and-Granular-Region-Wise-Analysis." TargetMode="External"/><Relationship Id="rId14" Type="http://schemas.openxmlformats.org/officeDocument/2006/relationships/hyperlink" Target="https://www.moneycontrol.com/news/business/markets/brokerages-optimistic-on-eicher-motors-strategic-shift-forecast-stronger-growth-12866825.html?utm_source=chatgpt.com" TargetMode="External"/><Relationship Id="rId22" Type="http://schemas.openxmlformats.org/officeDocument/2006/relationships/hyperlink" Target="https://www.bseindia.com/xml-data/corpfiling/AttachHis/05369193-1faf-47ec-8b4f-b39d8597ca41.pdf" TargetMode="External"/><Relationship Id="rId27" Type="http://schemas.openxmlformats.org/officeDocument/2006/relationships/hyperlink" Target="Eicher%20-%20AR%2024.pdf" TargetMode="External"/><Relationship Id="rId30"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8" Type="http://schemas.openxmlformats.org/officeDocument/2006/relationships/hyperlink" Target="https://cdn-media.screener.in/concalls/77fb479f-d1a5-4363-80e1-4372c970cf6e.pdf" TargetMode="External"/><Relationship Id="rId13" Type="http://schemas.openxmlformats.org/officeDocument/2006/relationships/hyperlink" Target="https://www.macrotrends.net/global-metrics/countries/ind/india/consumer-spending" TargetMode="External"/><Relationship Id="rId18" Type="http://schemas.openxmlformats.org/officeDocument/2006/relationships/drawing" Target="../drawings/drawing4.xml"/><Relationship Id="rId3" Type="http://schemas.openxmlformats.org/officeDocument/2006/relationships/hyperlink" Target="https://www.business-standard.com/industry/auto/rural-demand-for-two-wheelers-reviving-in-the-first-half-of-2024-fada-124072100307_1.html" TargetMode="External"/><Relationship Id="rId7" Type="http://schemas.openxmlformats.org/officeDocument/2006/relationships/hyperlink" Target="https://www.nudm.mohua.gov.in/why-nudm" TargetMode="External"/><Relationship Id="rId12" Type="http://schemas.openxmlformats.org/officeDocument/2006/relationships/hyperlink" Target="https://www.archivemarketresearch.com/news/article/rising-disposable-income-impact-on-spending-economic-growth-18878" TargetMode="External"/><Relationship Id="rId17" Type="http://schemas.openxmlformats.org/officeDocument/2006/relationships/hyperlink" Target="https://www.marketscreener.com/quote/stock/EICHER-MOTORS-LIMITED-6493334/news/Eicher-Motors-Press-Release-May-11-2024-46703178" TargetMode="External"/><Relationship Id="rId2" Type="http://schemas.openxmlformats.org/officeDocument/2006/relationships/hyperlink" Target="https://cdn-media.screener.in/concalls/77fb479f-d1a5-4363-80e1-4372c970cf6e.pdf" TargetMode="External"/><Relationship Id="rId16" Type="http://schemas.openxmlformats.org/officeDocument/2006/relationships/hyperlink" Target="https://motoring-trends.com/cover-story/shifting-world-order-for-the-auto-industry" TargetMode="External"/><Relationship Id="rId1" Type="http://schemas.openxmlformats.org/officeDocument/2006/relationships/hyperlink" Target="https://markwideresearch.com/press-release/india-two-wheeler-market-riding-towards-remarkable-growth-with-a-projected-cagr-of-8-7-from-2023-to-2030" TargetMode="External"/><Relationship Id="rId6" Type="http://schemas.openxmlformats.org/officeDocument/2006/relationships/hyperlink" Target="https://www.researchgate.net/figure/Changing-share-of-Urban-and-Rural-populations-in-India-1950-to-2050_fig1_305911108" TargetMode="External"/><Relationship Id="rId11" Type="http://schemas.openxmlformats.org/officeDocument/2006/relationships/hyperlink" Target="https://sanasecurities.com/eicher-motors-stock-analysis/" TargetMode="External"/><Relationship Id="rId5" Type="http://schemas.openxmlformats.org/officeDocument/2006/relationships/hyperlink" Target="https://ourworldindata.org/grapher/population-by-age-group-with-projections" TargetMode="External"/><Relationship Id="rId15" Type="http://schemas.openxmlformats.org/officeDocument/2006/relationships/hyperlink" Target="https://dcfmodeling.com/products/eichermotns-porters-five-forces-analysis" TargetMode="External"/><Relationship Id="rId10" Type="http://schemas.openxmlformats.org/officeDocument/2006/relationships/hyperlink" Target="https://www.reuters.com/world/india/indias-eicher-motors-beats-fourth-quarter-profit-view-2025-05-14" TargetMode="External"/><Relationship Id="rId4" Type="http://schemas.openxmlformats.org/officeDocument/2006/relationships/hyperlink" Target="https://cdn-media.screener.in/concalls/77fb479f-d1a5-4363-80e1-4372c970cf6e.pdf" TargetMode="External"/><Relationship Id="rId9" Type="http://schemas.openxmlformats.org/officeDocument/2006/relationships/hyperlink" Target="https://www.sharescart.com/article/equity-research-eicher-motors" TargetMode="External"/><Relationship Id="rId14" Type="http://schemas.openxmlformats.org/officeDocument/2006/relationships/hyperlink" Target="https://auto.hindustantimes.com/new-bikes/royalenfield/classic-350/user-reviews/comfort-redefined-6772d8999f16803bfb261a3b"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25A61-51C1-4F5F-94E1-9E1D886029F8}">
  <sheetPr>
    <tabColor rgb="FF002060"/>
  </sheetPr>
  <dimension ref="A1"/>
  <sheetViews>
    <sheetView workbookViewId="0">
      <selection activeCell="K8" sqref="K8"/>
    </sheetView>
  </sheetViews>
  <sheetFormatPr defaultRowHeight="14.4"/>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62FE8-6A5C-4412-99B9-AA7E7117BB4F}">
  <dimension ref="B2:I23"/>
  <sheetViews>
    <sheetView showGridLines="0" topLeftCell="A4" zoomScale="115" zoomScaleNormal="115" workbookViewId="0">
      <selection activeCell="B26" sqref="B26"/>
    </sheetView>
  </sheetViews>
  <sheetFormatPr defaultRowHeight="14.4"/>
  <cols>
    <col min="1" max="1" width="1.88671875" customWidth="1"/>
    <col min="2" max="2" width="41.6640625" customWidth="1"/>
    <col min="3" max="3" width="16.109375" bestFit="1" customWidth="1"/>
  </cols>
  <sheetData>
    <row r="2" spans="2:3">
      <c r="B2" s="14" t="s">
        <v>654</v>
      </c>
    </row>
    <row r="4" spans="2:3">
      <c r="B4" s="285" t="s">
        <v>655</v>
      </c>
      <c r="C4" s="414" t="s">
        <v>656</v>
      </c>
    </row>
    <row r="6" spans="2:3">
      <c r="B6" s="22" t="s">
        <v>668</v>
      </c>
    </row>
    <row r="7" spans="2:3">
      <c r="B7" s="285" t="s">
        <v>669</v>
      </c>
      <c r="C7" s="415" t="s">
        <v>777</v>
      </c>
    </row>
    <row r="8" spans="2:3">
      <c r="B8" s="285" t="s">
        <v>670</v>
      </c>
      <c r="C8" s="416">
        <v>6.4199999999999993E-2</v>
      </c>
    </row>
    <row r="9" spans="2:3">
      <c r="B9" s="285" t="str">
        <f>C7&amp;"'s Moody's sovereign ratings"</f>
        <v>India's Moody's sovereign ratings</v>
      </c>
      <c r="C9" s="416" t="str">
        <f>VLOOKUP(C7,Damodaran!B3:D160,3,FALSE)</f>
        <v>Baa3</v>
      </c>
    </row>
    <row r="10" spans="2:3">
      <c r="B10" s="285" t="s">
        <v>671</v>
      </c>
      <c r="C10" s="416">
        <f>VLOOKUP(C7,Damodaran!B3:E160,4,FALSE)</f>
        <v>2.160985823777507E-2</v>
      </c>
    </row>
    <row r="11" spans="2:3">
      <c r="B11" s="285" t="s">
        <v>672</v>
      </c>
      <c r="C11" s="416">
        <v>3.9399999999999998E-2</v>
      </c>
    </row>
    <row r="12" spans="2:3">
      <c r="B12" s="285" t="s">
        <v>673</v>
      </c>
      <c r="C12" s="417">
        <v>0.45</v>
      </c>
    </row>
    <row r="13" spans="2:3">
      <c r="B13" s="285" t="s">
        <v>674</v>
      </c>
      <c r="C13" s="417">
        <v>0.05</v>
      </c>
    </row>
    <row r="14" spans="2:3">
      <c r="B14" s="285" t="s">
        <v>93</v>
      </c>
      <c r="C14" s="416">
        <f>Assumptions!K715</f>
        <v>1.216240444640034E-2</v>
      </c>
    </row>
    <row r="15" spans="2:3">
      <c r="B15" s="285" t="s">
        <v>675</v>
      </c>
      <c r="C15" s="416">
        <f>Assumptions!K716</f>
        <v>1.2016257858394313E-2</v>
      </c>
    </row>
    <row r="16" spans="2:3">
      <c r="B16" s="285" t="s">
        <v>676</v>
      </c>
      <c r="C16" s="416">
        <v>0.25</v>
      </c>
    </row>
    <row r="17" spans="2:9">
      <c r="B17" s="285" t="s">
        <v>677</v>
      </c>
      <c r="C17" s="415" t="s">
        <v>128</v>
      </c>
      <c r="H17" s="331" t="s">
        <v>871</v>
      </c>
      <c r="I17" s="331" t="s">
        <v>128</v>
      </c>
    </row>
    <row r="18" spans="2:9">
      <c r="B18" s="285" t="s">
        <v>870</v>
      </c>
      <c r="C18" s="415" t="s">
        <v>871</v>
      </c>
      <c r="H18" s="331" t="s">
        <v>872</v>
      </c>
      <c r="I18" s="331" t="s">
        <v>126</v>
      </c>
    </row>
    <row r="19" spans="2:9">
      <c r="B19" s="285" t="s">
        <v>678</v>
      </c>
      <c r="C19" s="415" t="s">
        <v>895</v>
      </c>
    </row>
    <row r="20" spans="2:9">
      <c r="B20" s="285" t="s">
        <v>118</v>
      </c>
      <c r="C20" s="418">
        <f>'3 Statement Model'!H26/'3 Statement Model'!H30</f>
        <v>73.072549019607834</v>
      </c>
    </row>
    <row r="21" spans="2:9">
      <c r="B21" s="285" t="s">
        <v>911</v>
      </c>
      <c r="C21" s="419">
        <f>IF(C18="Large",VLOOKUP(C20,Damodaran!G5:J20,4,TRUE),VLOOKUP('Input Sheet'!C20,Damodaran!L5:O20,4,TRUE))</f>
        <v>4.4999999999999997E-3</v>
      </c>
    </row>
    <row r="22" spans="2:9">
      <c r="B22" s="285" t="s">
        <v>679</v>
      </c>
      <c r="C22" s="420"/>
    </row>
    <row r="23" spans="2:9">
      <c r="B23" s="285" t="s">
        <v>680</v>
      </c>
      <c r="C23" s="420"/>
    </row>
  </sheetData>
  <sheetProtection algorithmName="SHA-512" hashValue="C65xzg0CA05sMkOm6w+p7cSxQO0FqLmyhUeNAhyNfVpF+CZTajsxFoar6g+LDVlEcLEHM2YjukdygwctLP1Epg==" saltValue="M8R2Kxy57nA2A7SJLJdd1g==" spinCount="100000" sheet="1" objects="1" scenarios="1"/>
  <dataValidations count="2">
    <dataValidation type="list" allowBlank="1" showInputMessage="1" showErrorMessage="1" sqref="C18" xr:uid="{D68F4513-3B0D-45B9-BECA-2A0D6487F41D}">
      <formula1>$H$17:$H$18</formula1>
    </dataValidation>
    <dataValidation type="list" allowBlank="1" showInputMessage="1" showErrorMessage="1" sqref="C17" xr:uid="{F9634BA4-FE76-42EA-A8CC-4FA6A2A8DDE2}">
      <formula1>$I$17:$I$18</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867FE71D-A581-43B2-AED5-93FA39DFDEAE}">
          <x14:formula1>
            <xm:f>Damodaran!$B$4:$B$160</xm:f>
          </x14:formula1>
          <xm:sqref>C7</xm:sqref>
        </x14:dataValidation>
        <x14:dataValidation type="list" allowBlank="1" showInputMessage="1" showErrorMessage="1" xr:uid="{59DE81C5-7547-4932-B7E7-A365F0CC3485}">
          <x14:formula1>
            <xm:f>Damodaran!$I$6:$I$20</xm:f>
          </x14:formula1>
          <xm:sqref>C19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3BC1A-53FB-4626-A807-5D49B1980DA3}">
  <dimension ref="B2:J73"/>
  <sheetViews>
    <sheetView showGridLines="0" zoomScale="115" zoomScaleNormal="115" workbookViewId="0">
      <selection activeCell="H31" sqref="H31"/>
    </sheetView>
  </sheetViews>
  <sheetFormatPr defaultRowHeight="14.4"/>
  <cols>
    <col min="1" max="1" width="1.88671875" customWidth="1"/>
    <col min="2" max="2" width="39.21875" bestFit="1" customWidth="1"/>
    <col min="3" max="3" width="1.88671875" customWidth="1"/>
    <col min="4" max="4" width="17.88671875" bestFit="1" customWidth="1"/>
    <col min="5" max="5" width="16.33203125" customWidth="1"/>
    <col min="6" max="6" width="12.88671875" customWidth="1"/>
    <col min="7" max="7" width="10" bestFit="1" customWidth="1"/>
    <col min="8" max="8" width="51.33203125" customWidth="1"/>
    <col min="9" max="9" width="10.21875" bestFit="1" customWidth="1"/>
    <col min="10" max="10" width="8.5546875" customWidth="1"/>
    <col min="11" max="11" width="14.109375" bestFit="1" customWidth="1"/>
  </cols>
  <sheetData>
    <row r="2" spans="2:10" ht="21">
      <c r="B2" s="10" t="str">
        <f>'Input Sheet'!C4</f>
        <v>Eicher Motors Ltd.</v>
      </c>
    </row>
    <row r="3" spans="2:10" ht="15.6">
      <c r="B3" s="138" t="s">
        <v>132</v>
      </c>
    </row>
    <row r="5" spans="2:10">
      <c r="B5" s="14" t="s">
        <v>209</v>
      </c>
      <c r="C5" s="14"/>
      <c r="D5" s="315" t="s">
        <v>898</v>
      </c>
      <c r="E5" s="315" t="s">
        <v>899</v>
      </c>
      <c r="F5" s="315" t="s">
        <v>900</v>
      </c>
      <c r="H5" s="350" t="s">
        <v>133</v>
      </c>
    </row>
    <row r="6" spans="2:10" ht="14.4" customHeight="1">
      <c r="D6" s="327"/>
      <c r="E6" s="327"/>
      <c r="F6" s="327"/>
      <c r="H6" s="421" t="str">
        <f>"We have considered "&amp;TEXT(E7,"0.00%")&amp;" as the risk free rate in estimating the cost of equity of "&amp;TEXT(E12,"0.00%")&amp;". The risk free rate of India is calculated by considering local currency 10 years government bond yield adjusted for default spread of India."</f>
        <v>We have considered 4.26% as the risk free rate in estimating the cost of equity of 7.04%. The risk free rate of India is calculated by considering local currency 10 years government bond yield adjusted for default spread of India.</v>
      </c>
      <c r="I6" s="421"/>
      <c r="J6" s="421"/>
    </row>
    <row r="7" spans="2:10">
      <c r="B7" s="225" t="s">
        <v>133</v>
      </c>
      <c r="C7" s="225"/>
      <c r="D7" s="328">
        <f>'Input Sheet'!C8-'Input Sheet'!C10</f>
        <v>4.259014176222492E-2</v>
      </c>
      <c r="E7" s="328">
        <f>D7</f>
        <v>4.259014176222492E-2</v>
      </c>
      <c r="F7" s="328">
        <f t="shared" ref="F7" si="0">E7</f>
        <v>4.259014176222492E-2</v>
      </c>
      <c r="H7" s="421"/>
      <c r="I7" s="421"/>
      <c r="J7" s="421"/>
    </row>
    <row r="8" spans="2:10">
      <c r="B8" s="225" t="s">
        <v>901</v>
      </c>
      <c r="C8" s="225"/>
      <c r="D8" s="328">
        <f>'Input Sheet'!C11+'Input Sheet'!C10</f>
        <v>6.1009858237775064E-2</v>
      </c>
      <c r="E8" s="328">
        <f>D8</f>
        <v>6.1009858237775064E-2</v>
      </c>
      <c r="F8" s="328">
        <f>E8</f>
        <v>6.1009858237775064E-2</v>
      </c>
      <c r="H8" s="421"/>
      <c r="I8" s="421"/>
      <c r="J8" s="421"/>
    </row>
    <row r="9" spans="2:10">
      <c r="B9" s="225" t="s">
        <v>673</v>
      </c>
      <c r="C9" s="225"/>
      <c r="D9" s="336">
        <f>E9-'Input Sheet'!C13</f>
        <v>0.4</v>
      </c>
      <c r="E9" s="336">
        <f>'Input Sheet'!C12</f>
        <v>0.45</v>
      </c>
      <c r="F9" s="336">
        <f>E9+'Input Sheet'!C13</f>
        <v>0.5</v>
      </c>
      <c r="H9" s="421"/>
      <c r="I9" s="421"/>
      <c r="J9" s="421"/>
    </row>
    <row r="10" spans="2:10">
      <c r="B10" s="225" t="s">
        <v>902</v>
      </c>
      <c r="C10" s="225"/>
      <c r="D10" s="328">
        <f>'Input Sheet'!C14</f>
        <v>1.216240444640034E-2</v>
      </c>
      <c r="E10" s="328">
        <f>D10</f>
        <v>1.216240444640034E-2</v>
      </c>
      <c r="F10" s="328">
        <f>E10</f>
        <v>1.216240444640034E-2</v>
      </c>
      <c r="H10" s="350" t="s">
        <v>673</v>
      </c>
    </row>
    <row r="11" spans="2:10">
      <c r="B11" t="s">
        <v>903</v>
      </c>
      <c r="D11" s="337">
        <f>D9*(1+(D10*(1-'Input Sheet'!C16)))</f>
        <v>0.4036487213339201</v>
      </c>
      <c r="E11" s="337">
        <f>E9*(1+(E10*(1-'Input Sheet'!D16)))</f>
        <v>0.45547308200088016</v>
      </c>
      <c r="F11" s="337">
        <f>F9*(1+(F10*(1-'Input Sheet'!E16)))</f>
        <v>0.50608120222320019</v>
      </c>
      <c r="H11" s="421" t="str">
        <f>"We have estimated an asset beta range of "&amp;TEXT(D9,"0.00%")&amp;" to "&amp;TEXT(F9,"0.00%")&amp;", with a mid point of "&amp;TEXT(E9,"0.00%")&amp;" based on observed median of 5 year monthly asset beta of benchmark listed companies adjusted for blume effect."</f>
        <v>We have estimated an asset beta range of 40.00% to 50.00%, with a mid point of 45.00% based on observed median of 5 year monthly asset beta of benchmark listed companies adjusted for blume effect.</v>
      </c>
      <c r="I11" s="421"/>
      <c r="J11" s="421"/>
    </row>
    <row r="12" spans="2:10" ht="14.4" customHeight="1">
      <c r="B12" s="326" t="s">
        <v>904</v>
      </c>
      <c r="C12" s="326"/>
      <c r="D12" s="329">
        <f>D7+(D8*D11)</f>
        <v>6.7216693028666563E-2</v>
      </c>
      <c r="E12" s="329">
        <f t="shared" ref="E12:F12" si="1">E7+(E8*E11)</f>
        <v>7.0378489926221116E-2</v>
      </c>
      <c r="F12" s="329">
        <f t="shared" si="1"/>
        <v>7.3466084166665141E-2</v>
      </c>
      <c r="H12" s="421"/>
      <c r="I12" s="421"/>
      <c r="J12" s="421"/>
    </row>
    <row r="13" spans="2:10">
      <c r="D13" s="327"/>
      <c r="E13" s="327"/>
      <c r="F13" s="327"/>
      <c r="H13" s="421"/>
      <c r="I13" s="421"/>
      <c r="J13" s="421"/>
    </row>
    <row r="14" spans="2:10">
      <c r="B14" s="225" t="s">
        <v>679</v>
      </c>
      <c r="C14" s="225"/>
      <c r="D14" s="352">
        <v>2.1999999999999999E-2</v>
      </c>
      <c r="E14" s="330">
        <f>D14</f>
        <v>2.1999999999999999E-2</v>
      </c>
      <c r="F14" s="330">
        <f>E14</f>
        <v>2.1999999999999999E-2</v>
      </c>
      <c r="H14" s="351"/>
      <c r="I14" s="351"/>
    </row>
    <row r="15" spans="2:10">
      <c r="B15" t="s">
        <v>905</v>
      </c>
      <c r="D15" s="330">
        <f>'Input Sheet'!C23</f>
        <v>0</v>
      </c>
      <c r="E15" s="330">
        <f>'Input Sheet'!D23</f>
        <v>0</v>
      </c>
      <c r="F15" s="330">
        <f>'Input Sheet'!E23</f>
        <v>0</v>
      </c>
      <c r="H15" s="350" t="s">
        <v>939</v>
      </c>
    </row>
    <row r="16" spans="2:10">
      <c r="B16" s="326" t="s">
        <v>906</v>
      </c>
      <c r="C16" s="326"/>
      <c r="D16" s="329">
        <f>D12+D14+D15</f>
        <v>8.9216693028666555E-2</v>
      </c>
      <c r="E16" s="329">
        <f t="shared" ref="E16:F16" si="2">E12+E14+E15</f>
        <v>9.2378489926221108E-2</v>
      </c>
      <c r="F16" s="329">
        <f t="shared" si="2"/>
        <v>9.5466084166665133E-2</v>
      </c>
      <c r="H16" s="421" t="str">
        <f>"An ERP of "&amp;TEXT(E8,"0.00%")&amp;" has been adopted based on US implied Equity Risk Premium, Relative Equity Volatility of ICE BoFA Public Sector Issuers Emerging Market Index, S&amp;P Emerging Market BMI Index and Country risk premium of India."</f>
        <v>An ERP of 6.10% has been adopted based on US implied Equity Risk Premium, Relative Equity Volatility of ICE BoFA Public Sector Issuers Emerging Market Index, S&amp;P Emerging Market BMI Index and Country risk premium of India.</v>
      </c>
      <c r="I16" s="421"/>
      <c r="J16" s="421"/>
    </row>
    <row r="17" spans="2:10" ht="14.4" customHeight="1">
      <c r="D17" s="327"/>
      <c r="E17" s="327"/>
      <c r="F17" s="327"/>
      <c r="H17" s="421"/>
      <c r="I17" s="421"/>
      <c r="J17" s="421"/>
    </row>
    <row r="18" spans="2:10">
      <c r="B18" s="225" t="s">
        <v>907</v>
      </c>
      <c r="C18" s="225"/>
      <c r="D18" s="330">
        <f>'Input Sheet'!C8+(IF('Input Sheet'!C17="No",'Input Sheet'!C21,VLOOKUP('Input Sheet'!C19,Damodaran!I6:J20,2,FALSE)))</f>
        <v>6.8699999999999997E-2</v>
      </c>
      <c r="E18" s="328">
        <f>D18</f>
        <v>6.8699999999999997E-2</v>
      </c>
      <c r="F18" s="328">
        <f>E18</f>
        <v>6.8699999999999997E-2</v>
      </c>
      <c r="H18" s="421"/>
      <c r="I18" s="421"/>
      <c r="J18" s="421"/>
    </row>
    <row r="19" spans="2:10">
      <c r="B19" t="s">
        <v>676</v>
      </c>
      <c r="D19" s="332">
        <f>'Input Sheet'!C16</f>
        <v>0.25</v>
      </c>
      <c r="E19" s="332">
        <f>D19</f>
        <v>0.25</v>
      </c>
      <c r="F19" s="332">
        <f>E19</f>
        <v>0.25</v>
      </c>
      <c r="H19" s="421"/>
      <c r="I19" s="421"/>
      <c r="J19" s="421"/>
    </row>
    <row r="20" spans="2:10">
      <c r="B20" s="326" t="s">
        <v>908</v>
      </c>
      <c r="C20" s="326"/>
      <c r="D20" s="329">
        <f>D18*(1-D19)</f>
        <v>5.1525000000000001E-2</v>
      </c>
      <c r="E20" s="329">
        <f t="shared" ref="E20:F20" si="3">E18*(1-E19)</f>
        <v>5.1525000000000001E-2</v>
      </c>
      <c r="F20" s="329">
        <f t="shared" si="3"/>
        <v>5.1525000000000001E-2</v>
      </c>
      <c r="H20" s="350" t="s">
        <v>134</v>
      </c>
    </row>
    <row r="21" spans="2:10" ht="14.4" customHeight="1">
      <c r="D21" s="327"/>
      <c r="E21" s="327"/>
      <c r="F21" s="327"/>
      <c r="H21" s="421" t="s">
        <v>940</v>
      </c>
      <c r="I21" s="421"/>
      <c r="J21" s="421"/>
    </row>
    <row r="22" spans="2:10">
      <c r="B22" s="225" t="s">
        <v>909</v>
      </c>
      <c r="C22" s="225"/>
      <c r="D22" s="328">
        <f>'Input Sheet'!C15</f>
        <v>1.2016257858394313E-2</v>
      </c>
      <c r="E22" s="328">
        <f>'Input Sheet'!C15</f>
        <v>1.2016257858394313E-2</v>
      </c>
      <c r="F22" s="328">
        <f>'Input Sheet'!C15</f>
        <v>1.2016257858394313E-2</v>
      </c>
      <c r="H22" s="421"/>
      <c r="I22" s="421"/>
      <c r="J22" s="421"/>
    </row>
    <row r="23" spans="2:10" ht="14.4" customHeight="1">
      <c r="B23" t="s">
        <v>132</v>
      </c>
      <c r="D23" s="333">
        <f>(D20*D22)+(D16*(1-D22))</f>
        <v>8.8763779926114644E-2</v>
      </c>
      <c r="E23" s="333">
        <f t="shared" ref="E23:F23" si="4">(E20*E22)+(E16*(1-E22))</f>
        <v>9.188758385685232E-2</v>
      </c>
      <c r="F23" s="333">
        <f t="shared" si="4"/>
        <v>9.4938076768741067E-2</v>
      </c>
      <c r="H23" s="421"/>
      <c r="I23" s="421"/>
      <c r="J23" s="421"/>
    </row>
    <row r="24" spans="2:10">
      <c r="B24" s="326" t="s">
        <v>910</v>
      </c>
      <c r="C24" s="326"/>
      <c r="D24" s="329">
        <f>ROUNDUP(D23,2)</f>
        <v>0.09</v>
      </c>
      <c r="E24" s="329">
        <f t="shared" ref="E24:F24" si="5">ROUNDUP(E23,2)</f>
        <v>9.9999999999999992E-2</v>
      </c>
      <c r="F24" s="329">
        <f t="shared" si="5"/>
        <v>9.9999999999999992E-2</v>
      </c>
      <c r="H24" s="351"/>
      <c r="I24" s="351"/>
      <c r="J24" s="351"/>
    </row>
    <row r="25" spans="2:10">
      <c r="H25" s="350" t="s">
        <v>942</v>
      </c>
    </row>
    <row r="26" spans="2:10" ht="14.4" customHeight="1">
      <c r="B26" s="349" t="s">
        <v>936</v>
      </c>
      <c r="H26" s="421" t="s">
        <v>941</v>
      </c>
      <c r="I26" s="421"/>
      <c r="J26" s="421"/>
    </row>
    <row r="27" spans="2:10">
      <c r="B27" s="349" t="s">
        <v>937</v>
      </c>
      <c r="H27" s="421"/>
      <c r="I27" s="421"/>
      <c r="J27" s="421"/>
    </row>
    <row r="28" spans="2:10">
      <c r="B28" s="349" t="s">
        <v>938</v>
      </c>
      <c r="H28" s="421"/>
      <c r="I28" s="421"/>
      <c r="J28" s="421"/>
    </row>
    <row r="29" spans="2:10">
      <c r="H29" s="421"/>
      <c r="I29" s="421"/>
      <c r="J29" s="421"/>
    </row>
    <row r="31" spans="2:10">
      <c r="H31" s="350"/>
    </row>
    <row r="41" spans="2:10" ht="21">
      <c r="B41" s="10" t="str">
        <f>'Input Sheet'!C4</f>
        <v>Eicher Motors Ltd.</v>
      </c>
    </row>
    <row r="42" spans="2:10" ht="28.8">
      <c r="B42" s="22" t="s">
        <v>919</v>
      </c>
      <c r="H42" s="334" t="s">
        <v>921</v>
      </c>
      <c r="I42" s="334" t="s">
        <v>903</v>
      </c>
      <c r="J42" s="334" t="s">
        <v>922</v>
      </c>
    </row>
    <row r="43" spans="2:10">
      <c r="H43" s="343">
        <v>6.5000000000000002E-2</v>
      </c>
      <c r="I43" s="342">
        <v>0.77</v>
      </c>
      <c r="J43" s="343">
        <v>5.1999999999999998E-2</v>
      </c>
    </row>
    <row r="44" spans="2:10" ht="34.200000000000003" customHeight="1">
      <c r="B44" s="335" t="s">
        <v>912</v>
      </c>
      <c r="C44" s="335"/>
      <c r="D44" s="334" t="s">
        <v>913</v>
      </c>
      <c r="E44" s="334" t="s">
        <v>920</v>
      </c>
      <c r="F44" s="334" t="s">
        <v>914</v>
      </c>
      <c r="G44" s="334" t="s">
        <v>915</v>
      </c>
      <c r="H44" s="344">
        <v>0.34</v>
      </c>
      <c r="I44" s="342">
        <v>-0.04</v>
      </c>
      <c r="J44" s="343">
        <v>0.76500000000000001</v>
      </c>
    </row>
    <row r="45" spans="2:10">
      <c r="B45" s="225" t="s">
        <v>918</v>
      </c>
      <c r="C45" s="225"/>
      <c r="D45" s="225" t="s">
        <v>924</v>
      </c>
      <c r="E45" s="225">
        <v>60</v>
      </c>
      <c r="F45" s="341">
        <v>229842</v>
      </c>
      <c r="G45" s="342">
        <f>I43/(1+(H43*(1-$D$52)))</f>
        <v>0.73420738974970201</v>
      </c>
      <c r="H45" s="343">
        <v>2.2800000000000001E-2</v>
      </c>
      <c r="I45" s="342">
        <v>0.71</v>
      </c>
      <c r="J45" s="343">
        <v>2.3E-2</v>
      </c>
    </row>
    <row r="46" spans="2:10">
      <c r="B46" s="225" t="s">
        <v>923</v>
      </c>
      <c r="C46" s="225"/>
      <c r="D46" s="225" t="s">
        <v>925</v>
      </c>
      <c r="E46" s="225">
        <v>60</v>
      </c>
      <c r="F46" s="225">
        <v>143184.57</v>
      </c>
      <c r="G46" s="342">
        <f t="shared" ref="G46" si="6">I44/(1+(H44*(1-$D$52)))</f>
        <v>-3.1872509960159369E-2</v>
      </c>
      <c r="H46" s="343">
        <v>3.31</v>
      </c>
      <c r="I46" s="342">
        <v>1.3</v>
      </c>
      <c r="J46" s="343">
        <v>0.71299999999999997</v>
      </c>
    </row>
    <row r="47" spans="2:10">
      <c r="B47" s="225" t="s">
        <v>926</v>
      </c>
      <c r="C47" s="225"/>
      <c r="D47" s="225" t="s">
        <v>927</v>
      </c>
      <c r="E47" s="225">
        <v>60</v>
      </c>
      <c r="F47" s="225">
        <v>93229.66</v>
      </c>
      <c r="G47" s="342">
        <f>I45/(1+(H45*(1-$D$52)))</f>
        <v>0.69806312063710552</v>
      </c>
      <c r="H47" s="343">
        <v>0.83</v>
      </c>
      <c r="I47" s="342">
        <v>0.33</v>
      </c>
      <c r="J47" s="343">
        <v>0.56799999999999995</v>
      </c>
    </row>
    <row r="48" spans="2:10">
      <c r="B48" s="225" t="s">
        <v>928</v>
      </c>
      <c r="C48" s="225"/>
      <c r="D48" s="225" t="s">
        <v>929</v>
      </c>
      <c r="E48" s="225">
        <v>60</v>
      </c>
      <c r="F48" s="345">
        <v>24400</v>
      </c>
      <c r="G48" s="342">
        <f>I46/(1+(H46*(1-$D$52)))</f>
        <v>0.37329504666188085</v>
      </c>
      <c r="H48" s="343">
        <v>0.72</v>
      </c>
      <c r="I48" s="342">
        <v>0.79</v>
      </c>
      <c r="J48" s="343">
        <v>0.42</v>
      </c>
    </row>
    <row r="49" spans="2:10">
      <c r="B49" s="225" t="s">
        <v>930</v>
      </c>
      <c r="C49" s="225"/>
      <c r="D49" s="225" t="s">
        <v>931</v>
      </c>
      <c r="E49" s="225">
        <v>60</v>
      </c>
      <c r="F49" s="345">
        <v>41500</v>
      </c>
      <c r="G49" s="342">
        <f>I47/(1+(H47*(1-$D$52)))</f>
        <v>0.20338983050847459</v>
      </c>
      <c r="H49" s="90"/>
      <c r="I49" s="339"/>
      <c r="J49" s="90"/>
    </row>
    <row r="50" spans="2:10">
      <c r="B50" s="225" t="s">
        <v>932</v>
      </c>
      <c r="C50" s="225"/>
      <c r="D50" s="225" t="s">
        <v>933</v>
      </c>
      <c r="E50" s="225">
        <v>60</v>
      </c>
      <c r="F50" s="345">
        <v>52000</v>
      </c>
      <c r="G50" s="342">
        <f>I48/(1+(H48*(1-$D$52)))</f>
        <v>0.51298701298701299</v>
      </c>
      <c r="H50" s="90"/>
      <c r="I50" s="339"/>
      <c r="J50" s="90"/>
    </row>
    <row r="51" spans="2:10">
      <c r="F51" s="338"/>
    </row>
    <row r="52" spans="2:10">
      <c r="B52" s="20" t="s">
        <v>676</v>
      </c>
      <c r="C52" s="21"/>
      <c r="D52" s="340">
        <v>0.25</v>
      </c>
      <c r="F52" s="338"/>
      <c r="H52" s="346">
        <f>MEDIAN(H43:H48)</f>
        <v>0.53</v>
      </c>
      <c r="I52" s="342">
        <f>MEDIAN(I43:I48)</f>
        <v>0.74</v>
      </c>
      <c r="J52" s="342">
        <f>MEDIAN(J43:J48)</f>
        <v>0.49399999999999999</v>
      </c>
    </row>
    <row r="53" spans="2:10">
      <c r="H53" s="346">
        <f>AVERAGE(H43:H48)</f>
        <v>0.88129999999999997</v>
      </c>
      <c r="I53" s="342">
        <f>AVERAGE(I43:I48)</f>
        <v>0.64333333333333342</v>
      </c>
      <c r="J53" s="342">
        <f>AVERAGE(J43:J48)</f>
        <v>0.42349999999999999</v>
      </c>
    </row>
    <row r="54" spans="2:10">
      <c r="B54" s="225" t="s">
        <v>360</v>
      </c>
      <c r="C54" s="225"/>
      <c r="D54" s="225"/>
      <c r="E54" s="225"/>
      <c r="F54" s="225"/>
      <c r="G54" s="342">
        <f>MEDIAN(G45:G50)</f>
        <v>0.44314102982444692</v>
      </c>
    </row>
    <row r="55" spans="2:10">
      <c r="B55" s="225" t="s">
        <v>934</v>
      </c>
      <c r="C55" s="225"/>
      <c r="D55" s="225"/>
      <c r="E55" s="225"/>
      <c r="F55" s="225"/>
      <c r="G55" s="342">
        <f>AVERAGE(G45:G50)</f>
        <v>0.4150116484306694</v>
      </c>
    </row>
    <row r="58" spans="2:10" ht="28.8">
      <c r="B58" s="22" t="s">
        <v>916</v>
      </c>
      <c r="D58" s="347" t="s">
        <v>917</v>
      </c>
      <c r="E58" s="347"/>
      <c r="H58" s="334" t="s">
        <v>921</v>
      </c>
      <c r="I58" s="334" t="s">
        <v>903</v>
      </c>
      <c r="J58" s="334" t="s">
        <v>922</v>
      </c>
    </row>
    <row r="59" spans="2:10">
      <c r="H59" s="343">
        <v>6.5000000000000002E-2</v>
      </c>
      <c r="I59" s="342">
        <f>(I43*(2/3))+(1*(1/3))</f>
        <v>0.84666666666666668</v>
      </c>
      <c r="J59" s="343">
        <v>5.1999999999999998E-2</v>
      </c>
    </row>
    <row r="60" spans="2:10" ht="28.8">
      <c r="B60" s="335" t="s">
        <v>912</v>
      </c>
      <c r="C60" s="335"/>
      <c r="D60" s="334" t="s">
        <v>913</v>
      </c>
      <c r="E60" s="334" t="s">
        <v>920</v>
      </c>
      <c r="F60" s="334" t="s">
        <v>914</v>
      </c>
      <c r="G60" s="334" t="s">
        <v>915</v>
      </c>
      <c r="H60" s="344">
        <v>0.34</v>
      </c>
      <c r="I60" s="342">
        <f t="shared" ref="I60:I64" si="7">(I44*(2/3))+(1*(1/3))</f>
        <v>0.30666666666666664</v>
      </c>
      <c r="J60" s="343">
        <v>0.76500000000000001</v>
      </c>
    </row>
    <row r="61" spans="2:10">
      <c r="B61" s="225" t="s">
        <v>918</v>
      </c>
      <c r="C61" s="225"/>
      <c r="D61" s="225" t="s">
        <v>924</v>
      </c>
      <c r="E61" s="225">
        <v>60</v>
      </c>
      <c r="F61" s="341">
        <v>229842</v>
      </c>
      <c r="G61" s="342">
        <f>I59/(1+(H59*(1-$D$52)))</f>
        <v>0.80731029002781085</v>
      </c>
      <c r="H61" s="343">
        <v>2.2800000000000001E-2</v>
      </c>
      <c r="I61" s="342">
        <f t="shared" si="7"/>
        <v>0.80666666666666664</v>
      </c>
      <c r="J61" s="343">
        <v>2.3E-2</v>
      </c>
    </row>
    <row r="62" spans="2:10">
      <c r="B62" s="225" t="s">
        <v>923</v>
      </c>
      <c r="C62" s="225"/>
      <c r="D62" s="225" t="s">
        <v>925</v>
      </c>
      <c r="E62" s="225">
        <v>60</v>
      </c>
      <c r="F62" s="225">
        <v>143184.57</v>
      </c>
      <c r="G62" s="342">
        <f t="shared" ref="G62" si="8">I60/(1+(H60*(1-$D$52)))</f>
        <v>0.24435590969455512</v>
      </c>
      <c r="H62" s="343">
        <v>3.31</v>
      </c>
      <c r="I62" s="342">
        <f t="shared" si="7"/>
        <v>1.2</v>
      </c>
      <c r="J62" s="343">
        <v>0.71299999999999997</v>
      </c>
    </row>
    <row r="63" spans="2:10">
      <c r="B63" s="225" t="s">
        <v>926</v>
      </c>
      <c r="C63" s="225"/>
      <c r="D63" s="225" t="s">
        <v>927</v>
      </c>
      <c r="E63" s="225">
        <v>60</v>
      </c>
      <c r="F63" s="225">
        <v>93229.66</v>
      </c>
      <c r="G63" s="342">
        <f>I61/(1+(H61*(1-$D$52)))</f>
        <v>0.79310457837642978</v>
      </c>
      <c r="H63" s="343">
        <v>0.83</v>
      </c>
      <c r="I63" s="342">
        <f t="shared" si="7"/>
        <v>0.55333333333333334</v>
      </c>
      <c r="J63" s="343">
        <v>0.56799999999999995</v>
      </c>
    </row>
    <row r="64" spans="2:10">
      <c r="B64" s="225" t="s">
        <v>928</v>
      </c>
      <c r="C64" s="225"/>
      <c r="D64" s="225" t="s">
        <v>929</v>
      </c>
      <c r="E64" s="225">
        <v>60</v>
      </c>
      <c r="F64" s="345">
        <v>24400</v>
      </c>
      <c r="G64" s="342">
        <f>I62/(1+(H62*(1-$D$52)))</f>
        <v>0.34458004307250539</v>
      </c>
      <c r="H64" s="343">
        <v>0.72</v>
      </c>
      <c r="I64" s="342">
        <f t="shared" si="7"/>
        <v>0.85999999999999988</v>
      </c>
      <c r="J64" s="343">
        <v>0.42</v>
      </c>
    </row>
    <row r="65" spans="2:10">
      <c r="B65" s="225" t="s">
        <v>930</v>
      </c>
      <c r="C65" s="225"/>
      <c r="D65" s="225" t="s">
        <v>931</v>
      </c>
      <c r="E65" s="225">
        <v>60</v>
      </c>
      <c r="F65" s="345">
        <v>41500</v>
      </c>
      <c r="G65" s="342">
        <f>I63/(1+(H63*(1-$D$52)))</f>
        <v>0.34103749357986646</v>
      </c>
      <c r="H65" s="90"/>
      <c r="I65" s="339"/>
      <c r="J65" s="90"/>
    </row>
    <row r="66" spans="2:10">
      <c r="B66" s="225" t="s">
        <v>932</v>
      </c>
      <c r="C66" s="225"/>
      <c r="D66" s="225" t="s">
        <v>933</v>
      </c>
      <c r="E66" s="225">
        <v>60</v>
      </c>
      <c r="F66" s="345">
        <v>52000</v>
      </c>
      <c r="G66" s="342">
        <f>I64/(1+(H64*(1-$D$52)))</f>
        <v>0.55844155844155829</v>
      </c>
      <c r="H66" s="90"/>
      <c r="I66" s="339"/>
      <c r="J66" s="90"/>
    </row>
    <row r="67" spans="2:10">
      <c r="F67" s="338"/>
    </row>
    <row r="68" spans="2:10">
      <c r="B68" s="20" t="s">
        <v>676</v>
      </c>
      <c r="C68" s="21"/>
      <c r="D68" s="348">
        <v>0.25169999999999998</v>
      </c>
      <c r="F68" s="338"/>
      <c r="H68" s="346">
        <f>MEDIAN(H59:H64)</f>
        <v>0.53</v>
      </c>
      <c r="I68" s="342">
        <f>MEDIAN(I59:I64)</f>
        <v>0.82666666666666666</v>
      </c>
      <c r="J68" s="342">
        <f>MEDIAN(J59:J64)</f>
        <v>0.49399999999999999</v>
      </c>
    </row>
    <row r="69" spans="2:10">
      <c r="H69" s="346">
        <f>AVERAGE(H59:H64)</f>
        <v>0.88129999999999997</v>
      </c>
      <c r="I69" s="342">
        <f>AVERAGE(I59:I64)</f>
        <v>0.76222222222222225</v>
      </c>
      <c r="J69" s="342">
        <f>AVERAGE(J59:J64)</f>
        <v>0.42349999999999999</v>
      </c>
    </row>
    <row r="70" spans="2:10">
      <c r="B70" s="225" t="s">
        <v>360</v>
      </c>
      <c r="C70" s="225"/>
      <c r="D70" s="225"/>
      <c r="E70" s="225"/>
      <c r="F70" s="225"/>
      <c r="G70" s="342">
        <f>MEDIAN(G61:G66)</f>
        <v>0.45151080075703187</v>
      </c>
    </row>
    <row r="71" spans="2:10">
      <c r="B71" s="225" t="s">
        <v>934</v>
      </c>
      <c r="C71" s="225"/>
      <c r="D71" s="225"/>
      <c r="E71" s="225"/>
      <c r="F71" s="225"/>
      <c r="G71" s="342">
        <f>AVERAGE(G61:G66)</f>
        <v>0.51480497886545429</v>
      </c>
    </row>
    <row r="73" spans="2:10">
      <c r="B73" t="s">
        <v>935</v>
      </c>
    </row>
  </sheetData>
  <sheetProtection algorithmName="SHA-512" hashValue="df4+9G1EHnLiJmLSh+5Ls8iVvCmuN15Wr67jw+SHZlGwH4oyxqdXOBDVur77SWO7NtG7eke3qAZq18tKxXheXw==" saltValue="RU9g2Zw7nptW32y4BTCwlA==" spinCount="100000" sheet="1" objects="1" scenarios="1"/>
  <mergeCells count="5">
    <mergeCell ref="H11:J13"/>
    <mergeCell ref="H16:J19"/>
    <mergeCell ref="H21:J23"/>
    <mergeCell ref="H26:J29"/>
    <mergeCell ref="H6:J9"/>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B430B-1A58-442C-9024-95F20EBEBDE7}">
  <dimension ref="B2:O160"/>
  <sheetViews>
    <sheetView showGridLines="0" topLeftCell="B1" zoomScale="115" zoomScaleNormal="115" workbookViewId="0">
      <selection activeCell="G14" sqref="G14"/>
    </sheetView>
  </sheetViews>
  <sheetFormatPr defaultRowHeight="14.4"/>
  <cols>
    <col min="1" max="1" width="1.88671875" customWidth="1"/>
    <col min="2" max="2" width="27.21875" bestFit="1" customWidth="1"/>
    <col min="3" max="3" width="22.88671875" bestFit="1" customWidth="1"/>
    <col min="4" max="4" width="13.21875" bestFit="1" customWidth="1"/>
    <col min="5" max="5" width="26.5546875" customWidth="1"/>
  </cols>
  <sheetData>
    <row r="2" spans="2:15">
      <c r="B2" t="s">
        <v>873</v>
      </c>
      <c r="G2" t="s">
        <v>874</v>
      </c>
    </row>
    <row r="3" spans="2:15">
      <c r="B3" s="14" t="s">
        <v>669</v>
      </c>
      <c r="C3" s="14" t="s">
        <v>681</v>
      </c>
      <c r="D3" s="14" t="s">
        <v>682</v>
      </c>
      <c r="E3" s="122" t="s">
        <v>683</v>
      </c>
      <c r="G3" s="316" t="s">
        <v>875</v>
      </c>
      <c r="H3" s="317"/>
      <c r="I3" s="317"/>
      <c r="J3" s="317"/>
      <c r="L3" s="324" t="s">
        <v>896</v>
      </c>
      <c r="M3" s="325"/>
      <c r="N3" s="325"/>
      <c r="O3" s="325"/>
    </row>
    <row r="4" spans="2:15">
      <c r="B4" t="s">
        <v>777</v>
      </c>
      <c r="C4" t="s">
        <v>713</v>
      </c>
      <c r="D4" t="s">
        <v>701</v>
      </c>
      <c r="E4" s="120">
        <v>2.160985823777507E-2</v>
      </c>
      <c r="G4" s="318" t="s">
        <v>876</v>
      </c>
      <c r="H4" s="318"/>
      <c r="I4" s="319"/>
      <c r="J4" s="319"/>
      <c r="L4" s="422" t="s">
        <v>876</v>
      </c>
      <c r="M4" s="423"/>
      <c r="N4" s="321"/>
      <c r="O4" s="321"/>
    </row>
    <row r="5" spans="2:15">
      <c r="B5" t="s">
        <v>863</v>
      </c>
      <c r="C5" t="s">
        <v>691</v>
      </c>
      <c r="D5" t="s">
        <v>718</v>
      </c>
      <c r="E5" s="120">
        <v>5.8935977012113828E-3</v>
      </c>
      <c r="G5" s="320" t="s">
        <v>877</v>
      </c>
      <c r="H5" s="320" t="s">
        <v>878</v>
      </c>
      <c r="I5" s="320" t="s">
        <v>879</v>
      </c>
      <c r="J5" s="320" t="s">
        <v>880</v>
      </c>
      <c r="L5" s="321" t="s">
        <v>897</v>
      </c>
      <c r="M5" s="321" t="s">
        <v>878</v>
      </c>
      <c r="N5" s="321" t="s">
        <v>879</v>
      </c>
      <c r="O5" s="321" t="s">
        <v>880</v>
      </c>
    </row>
    <row r="6" spans="2:15">
      <c r="B6" t="s">
        <v>864</v>
      </c>
      <c r="C6" t="s">
        <v>736</v>
      </c>
      <c r="D6" t="s">
        <v>706</v>
      </c>
      <c r="E6" s="120">
        <v>2.7000000000000001E-3</v>
      </c>
      <c r="G6" s="321">
        <v>-100000</v>
      </c>
      <c r="H6" s="321">
        <v>0.19999900000000001</v>
      </c>
      <c r="I6" s="321" t="s">
        <v>881</v>
      </c>
      <c r="J6" s="322">
        <v>0.19</v>
      </c>
      <c r="L6" s="321">
        <v>-100000</v>
      </c>
      <c r="M6" s="321">
        <v>0.49999900000000003</v>
      </c>
      <c r="N6" s="321" t="s">
        <v>881</v>
      </c>
      <c r="O6" s="322">
        <v>0.19</v>
      </c>
    </row>
    <row r="7" spans="2:15">
      <c r="B7" t="s">
        <v>684</v>
      </c>
      <c r="C7" t="s">
        <v>685</v>
      </c>
      <c r="D7" t="s">
        <v>686</v>
      </c>
      <c r="E7" s="120">
        <v>4.8535510480564323E-3</v>
      </c>
      <c r="G7" s="321">
        <v>0.2</v>
      </c>
      <c r="H7" s="321">
        <v>0.64999899999999999</v>
      </c>
      <c r="I7" s="321" t="s">
        <v>882</v>
      </c>
      <c r="J7" s="322">
        <v>0.155</v>
      </c>
      <c r="L7" s="321">
        <v>0.5</v>
      </c>
      <c r="M7" s="321">
        <v>0.79999900000000002</v>
      </c>
      <c r="N7" s="321" t="s">
        <v>882</v>
      </c>
      <c r="O7" s="322">
        <v>0.155</v>
      </c>
    </row>
    <row r="8" spans="2:15">
      <c r="B8" t="s">
        <v>687</v>
      </c>
      <c r="C8" t="s">
        <v>688</v>
      </c>
      <c r="D8" t="s">
        <v>689</v>
      </c>
      <c r="E8" s="120">
        <v>3.5361586207268286E-2</v>
      </c>
      <c r="G8" s="321">
        <v>0.65</v>
      </c>
      <c r="H8" s="321">
        <v>0.79999900000000002</v>
      </c>
      <c r="I8" s="321" t="s">
        <v>883</v>
      </c>
      <c r="J8" s="322">
        <v>0.10100000000000001</v>
      </c>
      <c r="L8" s="321">
        <v>0.8</v>
      </c>
      <c r="M8" s="321">
        <v>1.2499990000000001</v>
      </c>
      <c r="N8" s="321" t="s">
        <v>883</v>
      </c>
      <c r="O8" s="322">
        <v>0.10100000000000001</v>
      </c>
    </row>
    <row r="9" spans="2:15">
      <c r="B9" t="s">
        <v>690</v>
      </c>
      <c r="C9" t="s">
        <v>691</v>
      </c>
      <c r="D9" t="s">
        <v>692</v>
      </c>
      <c r="E9" s="120">
        <v>1.5716260536563685E-2</v>
      </c>
      <c r="G9" s="321">
        <v>0.8</v>
      </c>
      <c r="H9" s="321">
        <v>1.2499990000000001</v>
      </c>
      <c r="I9" s="321" t="s">
        <v>884</v>
      </c>
      <c r="J9" s="322">
        <v>7.2800000000000004E-2</v>
      </c>
      <c r="L9" s="321">
        <v>1.25</v>
      </c>
      <c r="M9" s="321">
        <v>1.4999990000000001</v>
      </c>
      <c r="N9" s="321" t="s">
        <v>884</v>
      </c>
      <c r="O9" s="322">
        <v>7.2800000000000004E-2</v>
      </c>
    </row>
    <row r="10" spans="2:15">
      <c r="B10" t="s">
        <v>693</v>
      </c>
      <c r="C10" t="s">
        <v>681</v>
      </c>
      <c r="D10" t="s">
        <v>694</v>
      </c>
      <c r="E10" s="120">
        <v>6.3905088799409676E-2</v>
      </c>
      <c r="G10" s="321">
        <v>1.25</v>
      </c>
      <c r="H10" s="321">
        <v>1.4999990000000001</v>
      </c>
      <c r="I10" s="321" t="s">
        <v>885</v>
      </c>
      <c r="J10" s="322">
        <v>4.4200000000000003E-2</v>
      </c>
      <c r="L10" s="321">
        <v>1.5</v>
      </c>
      <c r="M10" s="321">
        <v>1.9999990000000001</v>
      </c>
      <c r="N10" s="321" t="s">
        <v>885</v>
      </c>
      <c r="O10" s="322">
        <v>4.4200000000000003E-2</v>
      </c>
    </row>
    <row r="11" spans="2:15">
      <c r="B11" t="s">
        <v>695</v>
      </c>
      <c r="C11" t="s">
        <v>696</v>
      </c>
      <c r="D11" t="s">
        <v>697</v>
      </c>
      <c r="E11" s="120">
        <v>9.8342189092762475E-2</v>
      </c>
      <c r="G11" s="321">
        <v>1.5</v>
      </c>
      <c r="H11" s="321">
        <v>1.7499990000000001</v>
      </c>
      <c r="I11" s="321" t="s">
        <v>886</v>
      </c>
      <c r="J11" s="322">
        <v>0.03</v>
      </c>
      <c r="L11" s="321">
        <v>2</v>
      </c>
      <c r="M11" s="321">
        <v>2.4999989999999999</v>
      </c>
      <c r="N11" s="321" t="s">
        <v>886</v>
      </c>
      <c r="O11" s="322">
        <v>0.03</v>
      </c>
    </row>
    <row r="12" spans="2:15">
      <c r="B12" t="s">
        <v>698</v>
      </c>
      <c r="C12" t="s">
        <v>688</v>
      </c>
      <c r="D12" t="s">
        <v>689</v>
      </c>
      <c r="E12" s="120">
        <v>3.5361586207268286E-2</v>
      </c>
      <c r="G12" s="321">
        <v>1.75</v>
      </c>
      <c r="H12" s="321">
        <v>1.9999990000000001</v>
      </c>
      <c r="I12" s="321" t="s">
        <v>887</v>
      </c>
      <c r="J12" s="322">
        <v>2.6100000000000002E-2</v>
      </c>
      <c r="L12" s="321">
        <v>2.5</v>
      </c>
      <c r="M12" s="321">
        <v>2.9999989999999999</v>
      </c>
      <c r="N12" s="321" t="s">
        <v>887</v>
      </c>
      <c r="O12" s="322">
        <v>2.6100000000000002E-2</v>
      </c>
    </row>
    <row r="13" spans="2:15">
      <c r="B13" t="s">
        <v>699</v>
      </c>
      <c r="C13" t="s">
        <v>700</v>
      </c>
      <c r="D13" t="s">
        <v>701</v>
      </c>
      <c r="E13" s="120">
        <v>2.160985823777507E-2</v>
      </c>
      <c r="G13" s="321">
        <v>2</v>
      </c>
      <c r="H13" s="321">
        <v>2.2499999000000002</v>
      </c>
      <c r="I13" s="321" t="s">
        <v>888</v>
      </c>
      <c r="J13" s="322">
        <v>1.83E-2</v>
      </c>
      <c r="L13" s="321">
        <v>3</v>
      </c>
      <c r="M13" s="321">
        <v>3.4999989999999999</v>
      </c>
      <c r="N13" s="321" t="s">
        <v>888</v>
      </c>
      <c r="O13" s="322">
        <v>1.83E-2</v>
      </c>
    </row>
    <row r="14" spans="2:15">
      <c r="B14" t="s">
        <v>702</v>
      </c>
      <c r="C14" t="s">
        <v>703</v>
      </c>
      <c r="D14" t="s">
        <v>704</v>
      </c>
      <c r="E14" s="120">
        <v>0</v>
      </c>
      <c r="G14" s="321">
        <v>2.25</v>
      </c>
      <c r="H14" s="321">
        <v>2.4999899999999999</v>
      </c>
      <c r="I14" s="321" t="s">
        <v>889</v>
      </c>
      <c r="J14" s="322">
        <v>1.55E-2</v>
      </c>
      <c r="L14" s="321">
        <v>3.5</v>
      </c>
      <c r="M14" s="321">
        <v>3.9999999000000002</v>
      </c>
      <c r="N14" s="321" t="s">
        <v>889</v>
      </c>
      <c r="O14" s="322">
        <v>1.55E-2</v>
      </c>
    </row>
    <row r="15" spans="2:15">
      <c r="B15" t="s">
        <v>705</v>
      </c>
      <c r="C15" t="s">
        <v>691</v>
      </c>
      <c r="D15" t="s">
        <v>706</v>
      </c>
      <c r="E15" s="120">
        <v>2.7000000000000001E-3</v>
      </c>
      <c r="G15" s="321">
        <v>2.5</v>
      </c>
      <c r="H15" s="321">
        <v>2.9999989999999999</v>
      </c>
      <c r="I15" s="321" t="s">
        <v>890</v>
      </c>
      <c r="J15" s="322">
        <v>1.2E-2</v>
      </c>
      <c r="L15" s="321">
        <v>4</v>
      </c>
      <c r="M15" s="321">
        <v>4.4999989999999999</v>
      </c>
      <c r="N15" s="321" t="s">
        <v>890</v>
      </c>
      <c r="O15" s="322">
        <v>1.2E-2</v>
      </c>
    </row>
    <row r="16" spans="2:15">
      <c r="B16" t="s">
        <v>707</v>
      </c>
      <c r="C16" t="s">
        <v>688</v>
      </c>
      <c r="D16" t="s">
        <v>701</v>
      </c>
      <c r="E16" s="120">
        <v>2.160985823777507E-2</v>
      </c>
      <c r="G16" s="321">
        <v>3</v>
      </c>
      <c r="H16" s="321">
        <v>4.2499989999999999</v>
      </c>
      <c r="I16" s="321" t="s">
        <v>891</v>
      </c>
      <c r="J16" s="322">
        <v>9.4999999999999998E-3</v>
      </c>
      <c r="L16" s="321">
        <v>4.5</v>
      </c>
      <c r="M16" s="321">
        <v>5.9999989999999999</v>
      </c>
      <c r="N16" s="321" t="s">
        <v>891</v>
      </c>
      <c r="O16" s="322">
        <v>9.4999999999999998E-3</v>
      </c>
    </row>
    <row r="17" spans="2:15">
      <c r="B17" t="s">
        <v>708</v>
      </c>
      <c r="C17" t="s">
        <v>700</v>
      </c>
      <c r="D17" t="s">
        <v>709</v>
      </c>
      <c r="E17" s="120">
        <v>4.4259763128705075E-2</v>
      </c>
      <c r="G17" s="321">
        <v>4.25</v>
      </c>
      <c r="H17" s="321">
        <v>5.4999989999999999</v>
      </c>
      <c r="I17" s="321" t="s">
        <v>892</v>
      </c>
      <c r="J17" s="322">
        <v>8.5000000000000006E-3</v>
      </c>
      <c r="L17" s="321">
        <v>6</v>
      </c>
      <c r="M17" s="321">
        <v>7.4999989999999999</v>
      </c>
      <c r="N17" s="321" t="s">
        <v>892</v>
      </c>
      <c r="O17" s="322">
        <v>8.5000000000000006E-3</v>
      </c>
    </row>
    <row r="18" spans="2:15">
      <c r="B18" t="s">
        <v>710</v>
      </c>
      <c r="C18" t="s">
        <v>685</v>
      </c>
      <c r="D18" t="s">
        <v>711</v>
      </c>
      <c r="E18" s="120">
        <v>5.4082425964057379E-2</v>
      </c>
      <c r="G18" s="321">
        <v>5.5</v>
      </c>
      <c r="H18" s="321">
        <v>6.4999989999999999</v>
      </c>
      <c r="I18" s="321" t="s">
        <v>893</v>
      </c>
      <c r="J18" s="322">
        <v>7.7000000000000002E-3</v>
      </c>
      <c r="L18" s="321">
        <v>7.5</v>
      </c>
      <c r="M18" s="321">
        <v>9.4999990000000007</v>
      </c>
      <c r="N18" s="321" t="s">
        <v>893</v>
      </c>
      <c r="O18" s="322">
        <v>7.7000000000000002E-3</v>
      </c>
    </row>
    <row r="19" spans="2:15">
      <c r="B19" t="s">
        <v>712</v>
      </c>
      <c r="C19" t="s">
        <v>713</v>
      </c>
      <c r="D19" t="s">
        <v>711</v>
      </c>
      <c r="E19" s="120">
        <v>5.4082425964057379E-2</v>
      </c>
      <c r="G19" s="321">
        <v>6.5</v>
      </c>
      <c r="H19" s="321">
        <v>8.4999990000000007</v>
      </c>
      <c r="I19" s="321" t="s">
        <v>894</v>
      </c>
      <c r="J19" s="322">
        <v>6.0000000000000001E-3</v>
      </c>
      <c r="L19" s="321">
        <v>9.5</v>
      </c>
      <c r="M19" s="321">
        <v>12.499999000000001</v>
      </c>
      <c r="N19" s="321" t="s">
        <v>894</v>
      </c>
      <c r="O19" s="322">
        <v>6.0000000000000001E-3</v>
      </c>
    </row>
    <row r="20" spans="2:15">
      <c r="B20" t="s">
        <v>714</v>
      </c>
      <c r="C20" t="s">
        <v>700</v>
      </c>
      <c r="D20" t="s">
        <v>711</v>
      </c>
      <c r="E20" s="120">
        <v>5.4082425964057379E-2</v>
      </c>
      <c r="G20" s="323">
        <v>8.5</v>
      </c>
      <c r="H20" s="321">
        <v>100000</v>
      </c>
      <c r="I20" s="321" t="s">
        <v>895</v>
      </c>
      <c r="J20" s="322">
        <v>4.4999999999999997E-3</v>
      </c>
      <c r="L20" s="321">
        <v>12.5</v>
      </c>
      <c r="M20" s="321">
        <v>100000</v>
      </c>
      <c r="N20" s="321" t="s">
        <v>895</v>
      </c>
      <c r="O20" s="322">
        <v>4.4999999999999997E-3</v>
      </c>
    </row>
    <row r="21" spans="2:15">
      <c r="B21" t="s">
        <v>715</v>
      </c>
      <c r="C21" t="s">
        <v>688</v>
      </c>
      <c r="D21" t="s">
        <v>716</v>
      </c>
      <c r="E21" s="120">
        <v>0.17499999999999999</v>
      </c>
    </row>
    <row r="22" spans="2:15">
      <c r="B22" t="s">
        <v>717</v>
      </c>
      <c r="C22" t="s">
        <v>691</v>
      </c>
      <c r="D22" t="s">
        <v>718</v>
      </c>
      <c r="E22" s="120">
        <v>5.8935977012113828E-3</v>
      </c>
    </row>
    <row r="23" spans="2:15">
      <c r="B23" t="s">
        <v>719</v>
      </c>
      <c r="C23" t="s">
        <v>696</v>
      </c>
      <c r="D23" t="s">
        <v>720</v>
      </c>
      <c r="E23" s="120">
        <v>7.3727751634761987E-2</v>
      </c>
    </row>
    <row r="24" spans="2:15">
      <c r="B24" t="s">
        <v>721</v>
      </c>
      <c r="C24" t="s">
        <v>681</v>
      </c>
      <c r="D24" t="s">
        <v>709</v>
      </c>
      <c r="E24" s="120">
        <v>4.4259763128705075E-2</v>
      </c>
    </row>
    <row r="25" spans="2:15">
      <c r="B25" t="s">
        <v>722</v>
      </c>
      <c r="C25" t="s">
        <v>700</v>
      </c>
      <c r="D25" t="s">
        <v>723</v>
      </c>
      <c r="E25" s="120">
        <v>8.3203732252395985E-3</v>
      </c>
    </row>
    <row r="26" spans="2:15">
      <c r="B26" t="s">
        <v>724</v>
      </c>
      <c r="C26" t="s">
        <v>696</v>
      </c>
      <c r="D26" t="s">
        <v>725</v>
      </c>
      <c r="E26" s="120">
        <v>0.11798751476346708</v>
      </c>
    </row>
    <row r="27" spans="2:15">
      <c r="B27" t="s">
        <v>726</v>
      </c>
      <c r="C27" t="s">
        <v>688</v>
      </c>
      <c r="D27" t="s">
        <v>694</v>
      </c>
      <c r="E27" s="120">
        <v>6.3905088799409676E-2</v>
      </c>
    </row>
    <row r="28" spans="2:15">
      <c r="B28" t="s">
        <v>727</v>
      </c>
      <c r="C28" t="s">
        <v>681</v>
      </c>
      <c r="D28" t="s">
        <v>728</v>
      </c>
      <c r="E28" s="120">
        <v>1.1787195402422766E-2</v>
      </c>
    </row>
    <row r="29" spans="2:15">
      <c r="B29" t="s">
        <v>729</v>
      </c>
      <c r="C29" t="s">
        <v>696</v>
      </c>
      <c r="D29" t="s">
        <v>730</v>
      </c>
      <c r="E29" s="120">
        <v>2.4614437458000481E-2</v>
      </c>
    </row>
    <row r="30" spans="2:15">
      <c r="B30" t="s">
        <v>731</v>
      </c>
      <c r="C30" t="s">
        <v>688</v>
      </c>
      <c r="D30" t="s">
        <v>692</v>
      </c>
      <c r="E30" s="120">
        <v>1.5716260536563685E-2</v>
      </c>
    </row>
    <row r="31" spans="2:15">
      <c r="B31" t="s">
        <v>732</v>
      </c>
      <c r="C31" t="s">
        <v>681</v>
      </c>
      <c r="D31" t="s">
        <v>720</v>
      </c>
      <c r="E31" s="120">
        <v>7.3727751634761987E-2</v>
      </c>
    </row>
    <row r="32" spans="2:15">
      <c r="B32" t="s">
        <v>733</v>
      </c>
      <c r="C32" t="s">
        <v>713</v>
      </c>
      <c r="D32" t="s">
        <v>711</v>
      </c>
      <c r="E32" s="120">
        <v>5.4082425964057379E-2</v>
      </c>
    </row>
    <row r="33" spans="2:5">
      <c r="B33" t="s">
        <v>734</v>
      </c>
      <c r="C33" t="s">
        <v>681</v>
      </c>
      <c r="D33" t="s">
        <v>720</v>
      </c>
      <c r="E33" s="120">
        <v>7.3727751634761987E-2</v>
      </c>
    </row>
    <row r="34" spans="2:5">
      <c r="B34" t="s">
        <v>735</v>
      </c>
      <c r="C34" t="s">
        <v>736</v>
      </c>
      <c r="D34" t="s">
        <v>704</v>
      </c>
      <c r="E34" s="120">
        <v>0</v>
      </c>
    </row>
    <row r="35" spans="2:5">
      <c r="B35" t="s">
        <v>737</v>
      </c>
      <c r="C35" t="s">
        <v>681</v>
      </c>
      <c r="D35" t="s">
        <v>711</v>
      </c>
      <c r="E35" s="120">
        <v>5.4082425964057379E-2</v>
      </c>
    </row>
    <row r="36" spans="2:5">
      <c r="B36" t="s">
        <v>738</v>
      </c>
      <c r="C36" t="s">
        <v>700</v>
      </c>
      <c r="D36" t="s">
        <v>718</v>
      </c>
      <c r="E36" s="120">
        <v>5.8935977012113828E-3</v>
      </c>
    </row>
    <row r="37" spans="2:5">
      <c r="B37" t="s">
        <v>739</v>
      </c>
      <c r="C37" t="s">
        <v>696</v>
      </c>
      <c r="D37" t="s">
        <v>723</v>
      </c>
      <c r="E37" s="120">
        <v>8.3203732252395985E-3</v>
      </c>
    </row>
    <row r="38" spans="2:5">
      <c r="B38" t="s">
        <v>740</v>
      </c>
      <c r="C38" t="s">
        <v>713</v>
      </c>
      <c r="D38" t="s">
        <v>741</v>
      </c>
      <c r="E38" s="120">
        <v>6.9336443543663332E-3</v>
      </c>
    </row>
    <row r="39" spans="2:5">
      <c r="B39" t="s">
        <v>742</v>
      </c>
      <c r="C39" t="s">
        <v>696</v>
      </c>
      <c r="D39" t="s">
        <v>701</v>
      </c>
      <c r="E39" s="120">
        <v>2.160985823777507E-2</v>
      </c>
    </row>
    <row r="40" spans="2:5">
      <c r="B40" t="s">
        <v>743</v>
      </c>
      <c r="C40" t="s">
        <v>681</v>
      </c>
      <c r="D40" t="s">
        <v>694</v>
      </c>
      <c r="E40" s="120">
        <v>6.3905088799409676E-2</v>
      </c>
    </row>
    <row r="41" spans="2:5">
      <c r="B41" t="s">
        <v>744</v>
      </c>
      <c r="C41" t="s">
        <v>681</v>
      </c>
      <c r="D41" t="s">
        <v>745</v>
      </c>
      <c r="E41" s="120">
        <v>8.851952625741015E-2</v>
      </c>
    </row>
    <row r="42" spans="2:5">
      <c r="B42" t="s">
        <v>746</v>
      </c>
      <c r="C42" t="s">
        <v>703</v>
      </c>
      <c r="D42" t="s">
        <v>709</v>
      </c>
      <c r="E42" s="120">
        <v>4.4259763128705075E-2</v>
      </c>
    </row>
    <row r="43" spans="2:5">
      <c r="B43" t="s">
        <v>747</v>
      </c>
      <c r="C43" t="s">
        <v>696</v>
      </c>
      <c r="D43" t="s">
        <v>689</v>
      </c>
      <c r="E43" s="120">
        <v>3.5361586207268286E-2</v>
      </c>
    </row>
    <row r="44" spans="2:5">
      <c r="B44" t="s">
        <v>748</v>
      </c>
      <c r="C44" t="s">
        <v>681</v>
      </c>
      <c r="D44" t="s">
        <v>749</v>
      </c>
      <c r="E44" s="120">
        <v>2.9583549245296346E-2</v>
      </c>
    </row>
    <row r="45" spans="2:5">
      <c r="B45" t="s">
        <v>750</v>
      </c>
      <c r="C45" t="s">
        <v>688</v>
      </c>
      <c r="D45" t="s">
        <v>728</v>
      </c>
      <c r="E45" s="120">
        <v>1.1787195402422766E-2</v>
      </c>
    </row>
    <row r="46" spans="2:5">
      <c r="B46" t="s">
        <v>751</v>
      </c>
      <c r="C46" t="s">
        <v>700</v>
      </c>
      <c r="D46" t="s">
        <v>725</v>
      </c>
      <c r="E46" s="120">
        <v>0.11798751476346708</v>
      </c>
    </row>
    <row r="47" spans="2:5">
      <c r="B47" t="s">
        <v>752</v>
      </c>
      <c r="C47" t="s">
        <v>700</v>
      </c>
      <c r="D47" t="s">
        <v>701</v>
      </c>
      <c r="E47" s="120">
        <v>2.160985823777507E-2</v>
      </c>
    </row>
    <row r="48" spans="2:5">
      <c r="B48" t="s">
        <v>753</v>
      </c>
      <c r="C48" t="s">
        <v>691</v>
      </c>
      <c r="D48" t="s">
        <v>728</v>
      </c>
      <c r="E48" s="120">
        <v>1.1787195402422766E-2</v>
      </c>
    </row>
    <row r="49" spans="2:5">
      <c r="B49" t="s">
        <v>754</v>
      </c>
      <c r="C49" t="s">
        <v>688</v>
      </c>
      <c r="D49" t="s">
        <v>718</v>
      </c>
      <c r="E49" s="120">
        <v>5.8935977012113828E-3</v>
      </c>
    </row>
    <row r="50" spans="2:5">
      <c r="B50" t="s">
        <v>755</v>
      </c>
      <c r="C50" t="s">
        <v>691</v>
      </c>
      <c r="D50" t="s">
        <v>704</v>
      </c>
      <c r="E50" s="120">
        <v>0</v>
      </c>
    </row>
    <row r="51" spans="2:5">
      <c r="B51" t="s">
        <v>756</v>
      </c>
      <c r="C51" t="s">
        <v>700</v>
      </c>
      <c r="D51" t="s">
        <v>689</v>
      </c>
      <c r="E51" s="120">
        <v>3.5361586207268286E-2</v>
      </c>
    </row>
    <row r="52" spans="2:5">
      <c r="B52" t="s">
        <v>757</v>
      </c>
      <c r="C52" t="s">
        <v>696</v>
      </c>
      <c r="D52" t="s">
        <v>697</v>
      </c>
      <c r="E52" s="120">
        <v>9.8342189092762475E-2</v>
      </c>
    </row>
    <row r="53" spans="2:5">
      <c r="B53" t="s">
        <v>758</v>
      </c>
      <c r="C53" t="s">
        <v>681</v>
      </c>
      <c r="D53" t="s">
        <v>720</v>
      </c>
      <c r="E53" s="120">
        <v>7.3727751634761987E-2</v>
      </c>
    </row>
    <row r="54" spans="2:5">
      <c r="B54" t="s">
        <v>759</v>
      </c>
      <c r="C54" t="s">
        <v>696</v>
      </c>
      <c r="D54" t="s">
        <v>694</v>
      </c>
      <c r="E54" s="120">
        <v>6.3905088799409676E-2</v>
      </c>
    </row>
    <row r="55" spans="2:5">
      <c r="B55" t="s">
        <v>760</v>
      </c>
      <c r="C55" t="s">
        <v>688</v>
      </c>
      <c r="D55" t="s">
        <v>741</v>
      </c>
      <c r="E55" s="120">
        <v>6.9336443543663332E-3</v>
      </c>
    </row>
    <row r="56" spans="2:5">
      <c r="B56" t="s">
        <v>761</v>
      </c>
      <c r="C56" t="s">
        <v>681</v>
      </c>
      <c r="D56" t="s">
        <v>745</v>
      </c>
      <c r="E56" s="120">
        <v>8.851952625741015E-2</v>
      </c>
    </row>
    <row r="57" spans="2:5">
      <c r="B57" t="s">
        <v>762</v>
      </c>
      <c r="C57" t="s">
        <v>713</v>
      </c>
      <c r="D57" t="s">
        <v>709</v>
      </c>
      <c r="E57" s="120">
        <v>4.4259763128705075E-2</v>
      </c>
    </row>
    <row r="58" spans="2:5">
      <c r="B58" t="s">
        <v>763</v>
      </c>
      <c r="C58" t="s">
        <v>691</v>
      </c>
      <c r="D58" t="s">
        <v>706</v>
      </c>
      <c r="E58" s="120">
        <v>2.7000000000000001E-3</v>
      </c>
    </row>
    <row r="59" spans="2:5">
      <c r="B59" t="s">
        <v>764</v>
      </c>
      <c r="C59" t="s">
        <v>691</v>
      </c>
      <c r="D59" t="s">
        <v>718</v>
      </c>
      <c r="E59" s="120">
        <v>5.8935977012113828E-3</v>
      </c>
    </row>
    <row r="60" spans="2:5">
      <c r="B60" t="s">
        <v>765</v>
      </c>
      <c r="C60" t="s">
        <v>681</v>
      </c>
      <c r="D60" t="s">
        <v>745</v>
      </c>
      <c r="E60" s="120">
        <v>8.851952625741015E-2</v>
      </c>
    </row>
    <row r="61" spans="2:5">
      <c r="B61" t="s">
        <v>766</v>
      </c>
      <c r="C61" t="s">
        <v>688</v>
      </c>
      <c r="D61" t="s">
        <v>749</v>
      </c>
      <c r="E61" s="120">
        <v>2.9583549245296346E-2</v>
      </c>
    </row>
    <row r="62" spans="2:5">
      <c r="B62" t="s">
        <v>767</v>
      </c>
      <c r="C62" t="s">
        <v>691</v>
      </c>
      <c r="D62" t="s">
        <v>704</v>
      </c>
      <c r="E62" s="120">
        <v>0</v>
      </c>
    </row>
    <row r="63" spans="2:5">
      <c r="B63" t="s">
        <v>768</v>
      </c>
      <c r="C63" t="s">
        <v>681</v>
      </c>
      <c r="D63" t="s">
        <v>745</v>
      </c>
      <c r="E63" s="120">
        <v>8.851952625741015E-2</v>
      </c>
    </row>
    <row r="64" spans="2:5">
      <c r="B64" t="s">
        <v>769</v>
      </c>
      <c r="C64" t="s">
        <v>691</v>
      </c>
      <c r="D64" t="s">
        <v>701</v>
      </c>
      <c r="E64" s="120">
        <v>2.160985823777507E-2</v>
      </c>
    </row>
    <row r="65" spans="2:5">
      <c r="B65" t="s">
        <v>770</v>
      </c>
      <c r="C65" t="s">
        <v>696</v>
      </c>
      <c r="D65" t="s">
        <v>730</v>
      </c>
      <c r="E65" s="120">
        <v>2.4614437458000481E-2</v>
      </c>
    </row>
    <row r="66" spans="2:5">
      <c r="B66" t="s">
        <v>771</v>
      </c>
      <c r="C66" t="s">
        <v>691</v>
      </c>
      <c r="D66" t="s">
        <v>741</v>
      </c>
      <c r="E66" s="120">
        <v>6.9336443543663332E-3</v>
      </c>
    </row>
    <row r="67" spans="2:5">
      <c r="B67" t="s">
        <v>772</v>
      </c>
      <c r="C67" t="s">
        <v>696</v>
      </c>
      <c r="D67" t="s">
        <v>709</v>
      </c>
      <c r="E67" s="120">
        <v>4.4259763128705075E-2</v>
      </c>
    </row>
    <row r="68" spans="2:5">
      <c r="B68" t="s">
        <v>773</v>
      </c>
      <c r="C68" t="s">
        <v>713</v>
      </c>
      <c r="D68" t="s">
        <v>718</v>
      </c>
      <c r="E68" s="120">
        <v>5.8935977012113828E-3</v>
      </c>
    </row>
    <row r="69" spans="2:5">
      <c r="B69" t="s">
        <v>774</v>
      </c>
      <c r="C69" t="s">
        <v>688</v>
      </c>
      <c r="D69" t="s">
        <v>775</v>
      </c>
      <c r="E69" s="120">
        <v>1.87208397567891E-2</v>
      </c>
    </row>
    <row r="70" spans="2:5">
      <c r="B70" t="s">
        <v>776</v>
      </c>
      <c r="C70" t="s">
        <v>691</v>
      </c>
      <c r="D70" t="s">
        <v>741</v>
      </c>
      <c r="E70" s="120">
        <v>6.9336443543663332E-3</v>
      </c>
    </row>
    <row r="71" spans="2:5">
      <c r="B71" t="s">
        <v>778</v>
      </c>
      <c r="C71" t="s">
        <v>713</v>
      </c>
      <c r="D71" t="s">
        <v>775</v>
      </c>
      <c r="E71" s="120">
        <v>1.87208397567891E-2</v>
      </c>
    </row>
    <row r="72" spans="2:5">
      <c r="B72" t="s">
        <v>779</v>
      </c>
      <c r="C72" t="s">
        <v>685</v>
      </c>
      <c r="D72" t="s">
        <v>720</v>
      </c>
      <c r="E72" s="120">
        <v>7.3727751634761987E-2</v>
      </c>
    </row>
    <row r="73" spans="2:5">
      <c r="B73" t="s">
        <v>780</v>
      </c>
      <c r="C73" t="s">
        <v>691</v>
      </c>
      <c r="D73" t="s">
        <v>718</v>
      </c>
      <c r="E73" s="120">
        <v>5.8935977012113828E-3</v>
      </c>
    </row>
    <row r="74" spans="2:5">
      <c r="B74" t="s">
        <v>781</v>
      </c>
      <c r="C74" t="s">
        <v>691</v>
      </c>
      <c r="D74" t="s">
        <v>718</v>
      </c>
      <c r="E74" s="120">
        <v>5.8935977012113828E-3</v>
      </c>
    </row>
    <row r="75" spans="2:5">
      <c r="B75" t="s">
        <v>782</v>
      </c>
      <c r="C75" t="s">
        <v>685</v>
      </c>
      <c r="D75" t="s">
        <v>692</v>
      </c>
      <c r="E75" s="120">
        <v>1.5716260536563685E-2</v>
      </c>
    </row>
    <row r="76" spans="2:5">
      <c r="B76" t="s">
        <v>783</v>
      </c>
      <c r="C76" t="s">
        <v>691</v>
      </c>
      <c r="D76" t="s">
        <v>701</v>
      </c>
      <c r="E76" s="120">
        <v>2.160985823777507E-2</v>
      </c>
    </row>
    <row r="77" spans="2:5">
      <c r="B77" t="s">
        <v>784</v>
      </c>
      <c r="C77" t="s">
        <v>700</v>
      </c>
      <c r="D77" t="s">
        <v>709</v>
      </c>
      <c r="E77" s="120">
        <v>4.4259763128705075E-2</v>
      </c>
    </row>
    <row r="78" spans="2:5">
      <c r="B78" t="s">
        <v>785</v>
      </c>
      <c r="C78" t="s">
        <v>713</v>
      </c>
      <c r="D78" t="s">
        <v>741</v>
      </c>
      <c r="E78" s="120">
        <v>6.9336443543663332E-3</v>
      </c>
    </row>
    <row r="79" spans="2:5">
      <c r="B79" t="s">
        <v>786</v>
      </c>
      <c r="C79" t="s">
        <v>691</v>
      </c>
      <c r="D79" t="s">
        <v>718</v>
      </c>
      <c r="E79" s="120">
        <v>5.8935977012113828E-3</v>
      </c>
    </row>
    <row r="80" spans="2:5">
      <c r="B80" t="s">
        <v>787</v>
      </c>
      <c r="C80" t="s">
        <v>685</v>
      </c>
      <c r="D80" t="s">
        <v>689</v>
      </c>
      <c r="E80" s="120">
        <v>3.5361586207268286E-2</v>
      </c>
    </row>
    <row r="81" spans="2:5">
      <c r="B81" t="s">
        <v>788</v>
      </c>
      <c r="C81" t="s">
        <v>688</v>
      </c>
      <c r="D81" t="s">
        <v>692</v>
      </c>
      <c r="E81" s="120">
        <v>1.5716260536563685E-2</v>
      </c>
    </row>
    <row r="82" spans="2:5">
      <c r="B82" t="s">
        <v>789</v>
      </c>
      <c r="C82" t="s">
        <v>681</v>
      </c>
      <c r="D82" t="s">
        <v>720</v>
      </c>
      <c r="E82" s="120">
        <v>7.3727751634761987E-2</v>
      </c>
    </row>
    <row r="83" spans="2:5">
      <c r="B83" t="s">
        <v>790</v>
      </c>
      <c r="C83" t="s">
        <v>713</v>
      </c>
      <c r="D83" t="s">
        <v>686</v>
      </c>
      <c r="E83" s="120">
        <v>4.8535510480564323E-3</v>
      </c>
    </row>
    <row r="84" spans="2:5">
      <c r="B84" t="s">
        <v>791</v>
      </c>
      <c r="C84" t="s">
        <v>685</v>
      </c>
      <c r="D84" t="s">
        <v>741</v>
      </c>
      <c r="E84" s="120">
        <v>6.9336443543663332E-3</v>
      </c>
    </row>
    <row r="85" spans="2:5">
      <c r="B85" t="s">
        <v>792</v>
      </c>
      <c r="C85" t="s">
        <v>688</v>
      </c>
      <c r="D85" t="s">
        <v>694</v>
      </c>
      <c r="E85" s="120">
        <v>6.3905088799409676E-2</v>
      </c>
    </row>
    <row r="86" spans="2:5">
      <c r="B86" t="s">
        <v>793</v>
      </c>
      <c r="C86" t="s">
        <v>713</v>
      </c>
      <c r="D86" t="s">
        <v>697</v>
      </c>
      <c r="E86" s="120">
        <v>9.8342189092762475E-2</v>
      </c>
    </row>
    <row r="87" spans="2:5">
      <c r="B87" t="s">
        <v>794</v>
      </c>
      <c r="C87" t="s">
        <v>688</v>
      </c>
      <c r="D87" t="s">
        <v>728</v>
      </c>
      <c r="E87" s="120">
        <v>1.1787195402422766E-2</v>
      </c>
    </row>
    <row r="88" spans="2:5">
      <c r="B88" t="s">
        <v>795</v>
      </c>
      <c r="C88" t="s">
        <v>685</v>
      </c>
      <c r="D88" t="s">
        <v>716</v>
      </c>
      <c r="E88" s="120">
        <v>0.17499999999999999</v>
      </c>
    </row>
    <row r="89" spans="2:5">
      <c r="B89" t="s">
        <v>796</v>
      </c>
      <c r="C89" t="s">
        <v>691</v>
      </c>
      <c r="D89" t="s">
        <v>704</v>
      </c>
      <c r="E89" s="120">
        <v>0</v>
      </c>
    </row>
    <row r="90" spans="2:5">
      <c r="B90" t="s">
        <v>797</v>
      </c>
      <c r="C90" t="s">
        <v>688</v>
      </c>
      <c r="D90" t="s">
        <v>723</v>
      </c>
      <c r="E90" s="120">
        <v>8.3203732252395985E-3</v>
      </c>
    </row>
    <row r="91" spans="2:5">
      <c r="B91" t="s">
        <v>798</v>
      </c>
      <c r="C91" t="s">
        <v>691</v>
      </c>
      <c r="D91" t="s">
        <v>704</v>
      </c>
      <c r="E91" s="120">
        <v>0</v>
      </c>
    </row>
    <row r="92" spans="2:5">
      <c r="B92" t="s">
        <v>799</v>
      </c>
      <c r="C92" t="s">
        <v>713</v>
      </c>
      <c r="D92" t="s">
        <v>718</v>
      </c>
      <c r="E92" s="120">
        <v>5.8935977012113828E-3</v>
      </c>
    </row>
    <row r="93" spans="2:5">
      <c r="B93" t="s">
        <v>800</v>
      </c>
      <c r="C93" t="s">
        <v>688</v>
      </c>
      <c r="D93" t="s">
        <v>689</v>
      </c>
      <c r="E93" s="120">
        <v>3.5361586207268286E-2</v>
      </c>
    </row>
    <row r="94" spans="2:5">
      <c r="B94" t="s">
        <v>801</v>
      </c>
      <c r="C94" t="s">
        <v>713</v>
      </c>
      <c r="D94" t="s">
        <v>728</v>
      </c>
      <c r="E94" s="120">
        <v>1.1787195402422766E-2</v>
      </c>
    </row>
    <row r="95" spans="2:5">
      <c r="B95" t="s">
        <v>802</v>
      </c>
      <c r="C95" t="s">
        <v>713</v>
      </c>
      <c r="D95" t="s">
        <v>745</v>
      </c>
      <c r="E95" s="120">
        <v>8.851952625741015E-2</v>
      </c>
    </row>
    <row r="96" spans="2:5">
      <c r="B96" t="s">
        <v>803</v>
      </c>
      <c r="C96" t="s">
        <v>681</v>
      </c>
      <c r="D96" t="s">
        <v>745</v>
      </c>
      <c r="E96" s="120">
        <v>8.851952625741015E-2</v>
      </c>
    </row>
    <row r="97" spans="2:5">
      <c r="B97" t="s">
        <v>804</v>
      </c>
      <c r="C97" t="s">
        <v>691</v>
      </c>
      <c r="D97" t="s">
        <v>723</v>
      </c>
      <c r="E97" s="120">
        <v>8.3203732252395985E-3</v>
      </c>
    </row>
    <row r="98" spans="2:5">
      <c r="B98" t="s">
        <v>805</v>
      </c>
      <c r="C98" t="s">
        <v>681</v>
      </c>
      <c r="D98" t="s">
        <v>701</v>
      </c>
      <c r="E98" s="120">
        <v>2.160985823777507E-2</v>
      </c>
    </row>
    <row r="99" spans="2:5">
      <c r="B99" t="s">
        <v>806</v>
      </c>
      <c r="C99" t="s">
        <v>696</v>
      </c>
      <c r="D99" t="s">
        <v>775</v>
      </c>
      <c r="E99" s="120">
        <v>1.87208397567891E-2</v>
      </c>
    </row>
    <row r="100" spans="2:5">
      <c r="B100" t="s">
        <v>807</v>
      </c>
      <c r="C100" t="s">
        <v>688</v>
      </c>
      <c r="D100" t="s">
        <v>694</v>
      </c>
      <c r="E100" s="120">
        <v>6.3905088799409676E-2</v>
      </c>
    </row>
    <row r="101" spans="2:5">
      <c r="B101" t="s">
        <v>808</v>
      </c>
      <c r="C101" t="s">
        <v>713</v>
      </c>
      <c r="D101" t="s">
        <v>711</v>
      </c>
      <c r="E101" s="120">
        <v>5.4082425964057379E-2</v>
      </c>
    </row>
    <row r="102" spans="2:5">
      <c r="B102" t="s">
        <v>809</v>
      </c>
      <c r="C102" t="s">
        <v>688</v>
      </c>
      <c r="D102" t="s">
        <v>709</v>
      </c>
      <c r="E102" s="120">
        <v>4.4259763128705075E-2</v>
      </c>
    </row>
    <row r="103" spans="2:5">
      <c r="B103" t="s">
        <v>810</v>
      </c>
      <c r="C103" t="s">
        <v>700</v>
      </c>
      <c r="D103" t="s">
        <v>701</v>
      </c>
      <c r="E103" s="120">
        <v>2.160985823777507E-2</v>
      </c>
    </row>
    <row r="104" spans="2:5">
      <c r="B104" t="s">
        <v>811</v>
      </c>
      <c r="C104" t="s">
        <v>681</v>
      </c>
      <c r="D104" t="s">
        <v>730</v>
      </c>
      <c r="E104" s="120">
        <v>2.4614437458000481E-2</v>
      </c>
    </row>
    <row r="105" spans="2:5">
      <c r="B105" t="s">
        <v>812</v>
      </c>
      <c r="C105" t="s">
        <v>681</v>
      </c>
      <c r="D105" t="s">
        <v>697</v>
      </c>
      <c r="E105" s="120">
        <v>9.8342189092762475E-2</v>
      </c>
    </row>
    <row r="106" spans="2:5">
      <c r="B106" t="s">
        <v>813</v>
      </c>
      <c r="C106" t="s">
        <v>681</v>
      </c>
      <c r="D106" t="s">
        <v>709</v>
      </c>
      <c r="E106" s="120">
        <v>4.4259763128705075E-2</v>
      </c>
    </row>
    <row r="107" spans="2:5">
      <c r="B107" t="s">
        <v>814</v>
      </c>
      <c r="C107" t="s">
        <v>713</v>
      </c>
      <c r="D107" t="s">
        <v>689</v>
      </c>
      <c r="E107" s="120">
        <v>3.5361586207268286E-2</v>
      </c>
    </row>
    <row r="108" spans="2:5">
      <c r="B108" t="s">
        <v>815</v>
      </c>
      <c r="C108" t="s">
        <v>691</v>
      </c>
      <c r="D108" t="s">
        <v>704</v>
      </c>
      <c r="E108" s="120">
        <v>0</v>
      </c>
    </row>
    <row r="109" spans="2:5">
      <c r="B109" t="s">
        <v>816</v>
      </c>
      <c r="C109" t="s">
        <v>703</v>
      </c>
      <c r="D109" t="s">
        <v>704</v>
      </c>
      <c r="E109" s="120">
        <v>0</v>
      </c>
    </row>
    <row r="110" spans="2:5">
      <c r="B110" t="s">
        <v>817</v>
      </c>
      <c r="C110" t="s">
        <v>696</v>
      </c>
      <c r="D110" t="s">
        <v>711</v>
      </c>
      <c r="E110" s="120">
        <v>5.4082425964057379E-2</v>
      </c>
    </row>
    <row r="111" spans="2:5">
      <c r="B111" t="s">
        <v>818</v>
      </c>
      <c r="C111" t="s">
        <v>681</v>
      </c>
      <c r="D111" t="s">
        <v>697</v>
      </c>
      <c r="E111" s="120">
        <v>9.8342189092762475E-2</v>
      </c>
    </row>
    <row r="112" spans="2:5">
      <c r="B112" t="s">
        <v>819</v>
      </c>
      <c r="C112" t="s">
        <v>681</v>
      </c>
      <c r="D112" t="s">
        <v>694</v>
      </c>
      <c r="E112" s="120">
        <v>6.3905088799409676E-2</v>
      </c>
    </row>
    <row r="113" spans="2:5">
      <c r="B113" t="s">
        <v>820</v>
      </c>
      <c r="C113" t="s">
        <v>691</v>
      </c>
      <c r="D113" t="s">
        <v>704</v>
      </c>
      <c r="E113" s="120">
        <v>0</v>
      </c>
    </row>
    <row r="114" spans="2:5">
      <c r="B114" t="s">
        <v>821</v>
      </c>
      <c r="C114" t="s">
        <v>685</v>
      </c>
      <c r="D114" t="s">
        <v>730</v>
      </c>
      <c r="E114" s="120">
        <v>2.4614437458000481E-2</v>
      </c>
    </row>
    <row r="115" spans="2:5">
      <c r="B115" t="s">
        <v>822</v>
      </c>
      <c r="C115" t="s">
        <v>713</v>
      </c>
      <c r="D115" t="s">
        <v>745</v>
      </c>
      <c r="E115" s="120">
        <v>8.851952625741015E-2</v>
      </c>
    </row>
    <row r="116" spans="2:5">
      <c r="B116" t="s">
        <v>823</v>
      </c>
      <c r="C116" t="s">
        <v>696</v>
      </c>
      <c r="D116" t="s">
        <v>701</v>
      </c>
      <c r="E116" s="120">
        <v>2.160985823777507E-2</v>
      </c>
    </row>
    <row r="117" spans="2:5">
      <c r="B117" t="s">
        <v>824</v>
      </c>
      <c r="C117" t="s">
        <v>713</v>
      </c>
      <c r="D117" t="s">
        <v>711</v>
      </c>
      <c r="E117" s="120">
        <v>5.4082425964057379E-2</v>
      </c>
    </row>
    <row r="118" spans="2:5">
      <c r="B118" t="s">
        <v>825</v>
      </c>
      <c r="C118" t="s">
        <v>696</v>
      </c>
      <c r="D118" t="s">
        <v>701</v>
      </c>
      <c r="E118" s="120">
        <v>2.160985823777507E-2</v>
      </c>
    </row>
    <row r="119" spans="2:5">
      <c r="B119" t="s">
        <v>826</v>
      </c>
      <c r="C119" t="s">
        <v>696</v>
      </c>
      <c r="D119" t="s">
        <v>692</v>
      </c>
      <c r="E119" s="120">
        <v>1.5716260536563685E-2</v>
      </c>
    </row>
    <row r="120" spans="2:5">
      <c r="B120" t="s">
        <v>827</v>
      </c>
      <c r="C120" t="s">
        <v>713</v>
      </c>
      <c r="D120" t="s">
        <v>775</v>
      </c>
      <c r="E120" s="120">
        <v>1.87208397567891E-2</v>
      </c>
    </row>
    <row r="121" spans="2:5">
      <c r="B121" t="s">
        <v>828</v>
      </c>
      <c r="C121" t="s">
        <v>688</v>
      </c>
      <c r="D121" t="s">
        <v>723</v>
      </c>
      <c r="E121" s="120">
        <v>8.3203732252395985E-3</v>
      </c>
    </row>
    <row r="122" spans="2:5">
      <c r="B122" t="s">
        <v>829</v>
      </c>
      <c r="C122" t="s">
        <v>691</v>
      </c>
      <c r="D122" t="s">
        <v>728</v>
      </c>
      <c r="E122" s="120">
        <v>1.1787195402422766E-2</v>
      </c>
    </row>
    <row r="123" spans="2:5">
      <c r="B123" t="s">
        <v>830</v>
      </c>
      <c r="C123" t="s">
        <v>685</v>
      </c>
      <c r="D123" t="s">
        <v>686</v>
      </c>
      <c r="E123" s="120">
        <v>4.8535510480564323E-3</v>
      </c>
    </row>
    <row r="124" spans="2:5">
      <c r="B124" t="s">
        <v>831</v>
      </c>
      <c r="C124" t="s">
        <v>685</v>
      </c>
      <c r="D124" t="s">
        <v>728</v>
      </c>
      <c r="E124" s="120">
        <v>1.1787195402422766E-2</v>
      </c>
    </row>
    <row r="125" spans="2:5">
      <c r="B125" t="s">
        <v>832</v>
      </c>
      <c r="C125" t="s">
        <v>688</v>
      </c>
      <c r="D125" t="s">
        <v>701</v>
      </c>
      <c r="E125" s="120">
        <v>2.160985823777507E-2</v>
      </c>
    </row>
    <row r="126" spans="2:5">
      <c r="B126" t="s">
        <v>833</v>
      </c>
      <c r="C126" t="s">
        <v>681</v>
      </c>
      <c r="D126" t="s">
        <v>711</v>
      </c>
      <c r="E126" s="120">
        <v>5.4082425964057379E-2</v>
      </c>
    </row>
    <row r="127" spans="2:5">
      <c r="B127" t="s">
        <v>834</v>
      </c>
      <c r="C127" t="s">
        <v>685</v>
      </c>
      <c r="D127" t="s">
        <v>718</v>
      </c>
      <c r="E127" s="120">
        <v>5.8935977012113828E-3</v>
      </c>
    </row>
    <row r="128" spans="2:5">
      <c r="B128" t="s">
        <v>835</v>
      </c>
      <c r="C128" t="s">
        <v>681</v>
      </c>
      <c r="D128" t="s">
        <v>694</v>
      </c>
      <c r="E128" s="120">
        <v>6.3905088799409676E-2</v>
      </c>
    </row>
    <row r="129" spans="2:5">
      <c r="B129" t="s">
        <v>836</v>
      </c>
      <c r="C129" t="s">
        <v>688</v>
      </c>
      <c r="D129" t="s">
        <v>749</v>
      </c>
      <c r="E129" s="120">
        <v>2.9583549245296346E-2</v>
      </c>
    </row>
    <row r="130" spans="2:5">
      <c r="B130" t="s">
        <v>837</v>
      </c>
      <c r="C130" t="s">
        <v>685</v>
      </c>
      <c r="D130" t="s">
        <v>730</v>
      </c>
      <c r="E130" s="120">
        <v>2.4614437458000481E-2</v>
      </c>
    </row>
    <row r="131" spans="2:5">
      <c r="B131" t="s">
        <v>838</v>
      </c>
      <c r="C131" t="s">
        <v>713</v>
      </c>
      <c r="D131" t="s">
        <v>704</v>
      </c>
      <c r="E131" s="120">
        <v>0</v>
      </c>
    </row>
    <row r="132" spans="2:5">
      <c r="B132" t="s">
        <v>839</v>
      </c>
      <c r="C132" t="s">
        <v>688</v>
      </c>
      <c r="D132" t="s">
        <v>728</v>
      </c>
      <c r="E132" s="120">
        <v>1.1787195402422766E-2</v>
      </c>
    </row>
    <row r="133" spans="2:5">
      <c r="B133" t="s">
        <v>840</v>
      </c>
      <c r="C133" t="s">
        <v>688</v>
      </c>
      <c r="D133" t="s">
        <v>728</v>
      </c>
      <c r="E133" s="120">
        <v>1.1787195402422766E-2</v>
      </c>
    </row>
    <row r="134" spans="2:5">
      <c r="B134" t="s">
        <v>841</v>
      </c>
      <c r="C134" t="s">
        <v>713</v>
      </c>
      <c r="D134" t="s">
        <v>720</v>
      </c>
      <c r="E134" s="120">
        <v>7.3727751634761987E-2</v>
      </c>
    </row>
    <row r="135" spans="2:5">
      <c r="B135" t="s">
        <v>842</v>
      </c>
      <c r="C135" t="s">
        <v>681</v>
      </c>
      <c r="D135" t="s">
        <v>749</v>
      </c>
      <c r="E135" s="120">
        <v>2.9583549245296346E-2</v>
      </c>
    </row>
    <row r="136" spans="2:5">
      <c r="B136" t="s">
        <v>843</v>
      </c>
      <c r="C136" t="s">
        <v>691</v>
      </c>
      <c r="D136" t="s">
        <v>692</v>
      </c>
      <c r="E136" s="120">
        <v>1.5716260536563685E-2</v>
      </c>
    </row>
    <row r="137" spans="2:5">
      <c r="B137" t="s">
        <v>844</v>
      </c>
      <c r="C137" t="s">
        <v>713</v>
      </c>
      <c r="D137" t="s">
        <v>725</v>
      </c>
      <c r="E137" s="120">
        <v>0.11798751476346708</v>
      </c>
    </row>
    <row r="138" spans="2:5">
      <c r="B138" t="s">
        <v>845</v>
      </c>
      <c r="C138" t="s">
        <v>700</v>
      </c>
      <c r="D138" t="s">
        <v>749</v>
      </c>
      <c r="E138" s="120">
        <v>2.9583549245296346E-2</v>
      </c>
    </row>
    <row r="139" spans="2:5">
      <c r="B139" t="s">
        <v>846</v>
      </c>
      <c r="C139" t="s">
        <v>700</v>
      </c>
      <c r="D139" t="s">
        <v>694</v>
      </c>
      <c r="E139" s="120">
        <v>6.3905088799409676E-2</v>
      </c>
    </row>
    <row r="140" spans="2:5">
      <c r="B140" t="s">
        <v>847</v>
      </c>
      <c r="C140" t="s">
        <v>696</v>
      </c>
      <c r="D140" t="s">
        <v>720</v>
      </c>
      <c r="E140" s="120">
        <v>7.3727751634761987E-2</v>
      </c>
    </row>
    <row r="141" spans="2:5">
      <c r="B141" t="s">
        <v>848</v>
      </c>
      <c r="C141" t="s">
        <v>681</v>
      </c>
      <c r="D141" t="s">
        <v>711</v>
      </c>
      <c r="E141" s="120">
        <v>5.4082425964057379E-2</v>
      </c>
    </row>
    <row r="142" spans="2:5">
      <c r="B142" t="s">
        <v>849</v>
      </c>
      <c r="C142" t="s">
        <v>691</v>
      </c>
      <c r="D142" t="s">
        <v>704</v>
      </c>
      <c r="E142" s="120">
        <v>0</v>
      </c>
    </row>
    <row r="143" spans="2:5">
      <c r="B143" t="s">
        <v>850</v>
      </c>
      <c r="C143" t="s">
        <v>691</v>
      </c>
      <c r="D143" t="s">
        <v>704</v>
      </c>
      <c r="E143" s="120">
        <v>0</v>
      </c>
    </row>
    <row r="144" spans="2:5">
      <c r="B144" t="s">
        <v>851</v>
      </c>
      <c r="C144" t="s">
        <v>713</v>
      </c>
      <c r="D144" t="s">
        <v>718</v>
      </c>
      <c r="E144" s="120">
        <v>5.8935977012113828E-3</v>
      </c>
    </row>
    <row r="145" spans="2:5">
      <c r="B145" t="s">
        <v>852</v>
      </c>
      <c r="C145" t="s">
        <v>688</v>
      </c>
      <c r="D145" t="s">
        <v>694</v>
      </c>
      <c r="E145" s="120">
        <v>6.3905088799409676E-2</v>
      </c>
    </row>
    <row r="146" spans="2:5">
      <c r="B146" t="s">
        <v>853</v>
      </c>
      <c r="C146" t="s">
        <v>681</v>
      </c>
      <c r="D146" t="s">
        <v>709</v>
      </c>
      <c r="E146" s="120">
        <v>4.4259763128705075E-2</v>
      </c>
    </row>
    <row r="147" spans="2:5">
      <c r="B147" t="s">
        <v>854</v>
      </c>
      <c r="C147" t="s">
        <v>713</v>
      </c>
      <c r="D147" t="s">
        <v>692</v>
      </c>
      <c r="E147" s="120">
        <v>1.5716260536563685E-2</v>
      </c>
    </row>
    <row r="148" spans="2:5">
      <c r="B148" t="s">
        <v>855</v>
      </c>
      <c r="C148" t="s">
        <v>681</v>
      </c>
      <c r="D148" t="s">
        <v>694</v>
      </c>
      <c r="E148" s="120">
        <v>6.3905088799409676E-2</v>
      </c>
    </row>
    <row r="149" spans="2:5">
      <c r="B149" t="s">
        <v>856</v>
      </c>
      <c r="C149" t="s">
        <v>700</v>
      </c>
      <c r="D149" t="s">
        <v>749</v>
      </c>
      <c r="E149" s="120">
        <v>2.9583549245296346E-2</v>
      </c>
    </row>
    <row r="150" spans="2:5">
      <c r="B150" t="s">
        <v>857</v>
      </c>
      <c r="C150" t="s">
        <v>681</v>
      </c>
      <c r="D150" t="s">
        <v>720</v>
      </c>
      <c r="E150" s="120">
        <v>7.3727751634761987E-2</v>
      </c>
    </row>
    <row r="151" spans="2:5">
      <c r="B151" t="s">
        <v>858</v>
      </c>
      <c r="C151" t="s">
        <v>691</v>
      </c>
      <c r="D151" t="s">
        <v>709</v>
      </c>
      <c r="E151" s="120">
        <v>4.4259763128705075E-2</v>
      </c>
    </row>
    <row r="152" spans="2:5">
      <c r="B152" t="s">
        <v>859</v>
      </c>
      <c r="C152" t="s">
        <v>700</v>
      </c>
      <c r="D152" t="s">
        <v>692</v>
      </c>
      <c r="E152" s="120">
        <v>1.5716260536563685E-2</v>
      </c>
    </row>
    <row r="153" spans="2:5">
      <c r="B153" t="s">
        <v>860</v>
      </c>
      <c r="C153" t="s">
        <v>681</v>
      </c>
      <c r="D153" t="s">
        <v>694</v>
      </c>
      <c r="E153" s="120">
        <v>6.3905088799409676E-2</v>
      </c>
    </row>
    <row r="154" spans="2:5">
      <c r="B154" t="s">
        <v>861</v>
      </c>
      <c r="C154" t="s">
        <v>688</v>
      </c>
      <c r="D154" t="s">
        <v>725</v>
      </c>
      <c r="E154" s="120">
        <v>0.11798751476346708</v>
      </c>
    </row>
    <row r="155" spans="2:5">
      <c r="B155" t="s">
        <v>862</v>
      </c>
      <c r="C155" t="s">
        <v>685</v>
      </c>
      <c r="D155" t="s">
        <v>686</v>
      </c>
      <c r="E155" s="120">
        <v>4.8535510480564323E-3</v>
      </c>
    </row>
    <row r="156" spans="2:5">
      <c r="B156" t="s">
        <v>865</v>
      </c>
      <c r="C156" t="s">
        <v>696</v>
      </c>
      <c r="D156" t="s">
        <v>692</v>
      </c>
      <c r="E156" s="120">
        <v>1.5716260536563685E-2</v>
      </c>
    </row>
    <row r="157" spans="2:5">
      <c r="B157" t="s">
        <v>866</v>
      </c>
      <c r="C157" t="s">
        <v>688</v>
      </c>
      <c r="D157" t="s">
        <v>689</v>
      </c>
      <c r="E157" s="120">
        <v>3.5361586207268286E-2</v>
      </c>
    </row>
    <row r="158" spans="2:5">
      <c r="B158" t="s">
        <v>867</v>
      </c>
      <c r="C158" t="s">
        <v>696</v>
      </c>
      <c r="D158" t="s">
        <v>716</v>
      </c>
      <c r="E158" s="120">
        <v>0.17499999999999999</v>
      </c>
    </row>
    <row r="159" spans="2:5">
      <c r="B159" t="s">
        <v>868</v>
      </c>
      <c r="C159" t="s">
        <v>713</v>
      </c>
      <c r="D159" t="s">
        <v>749</v>
      </c>
      <c r="E159" s="120">
        <v>2.9583549245296346E-2</v>
      </c>
    </row>
    <row r="160" spans="2:5">
      <c r="B160" t="s">
        <v>869</v>
      </c>
      <c r="C160" t="s">
        <v>681</v>
      </c>
      <c r="D160" t="s">
        <v>745</v>
      </c>
      <c r="E160" s="120">
        <v>8.851952625741015E-2</v>
      </c>
    </row>
  </sheetData>
  <sheetProtection algorithmName="SHA-512" hashValue="KEnQYdgNEjGiGHFmcje2ob21RxhtfcNjy9tknACEJUBNJ9G9QQkNdzlV5X+K0IG31gQAqsSnOBLt4WKbYBeiJw==" saltValue="YHpuvVrerINN0t+2df5qgA==" spinCount="100000" sheet="1" objects="1" scenarios="1"/>
  <mergeCells count="1">
    <mergeCell ref="L4:M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ECB0B-8560-4A6D-AB83-E0D9904B5A4F}">
  <dimension ref="A1:R134"/>
  <sheetViews>
    <sheetView showGridLines="0" topLeftCell="B1" zoomScaleNormal="100" workbookViewId="0">
      <pane ySplit="7" topLeftCell="A8" activePane="bottomLeft" state="frozen"/>
      <selection activeCell="B8" sqref="B8"/>
      <selection pane="bottomLeft" activeCell="H9" sqref="H9"/>
    </sheetView>
  </sheetViews>
  <sheetFormatPr defaultRowHeight="14.4"/>
  <cols>
    <col min="1" max="1" width="1.88671875" customWidth="1"/>
    <col min="2" max="2" width="43.6640625" customWidth="1"/>
    <col min="3" max="4" width="9.109375" bestFit="1" customWidth="1"/>
    <col min="7" max="7" width="12.44140625" customWidth="1"/>
    <col min="8" max="9" width="9.88671875" bestFit="1" customWidth="1"/>
  </cols>
  <sheetData>
    <row r="1" spans="1:18" ht="15" customHeight="1"/>
    <row r="2" spans="1:18" ht="15" customHeight="1">
      <c r="B2" s="10" t="str">
        <f>'Input Sheet'!C4</f>
        <v>Eicher Motors Ltd.</v>
      </c>
    </row>
    <row r="3" spans="1:18" ht="15" customHeight="1">
      <c r="B3" s="15" t="s">
        <v>25</v>
      </c>
    </row>
    <row r="4" spans="1:18" ht="15" customHeight="1">
      <c r="B4" s="15"/>
      <c r="G4" s="413" t="s">
        <v>32</v>
      </c>
      <c r="H4" s="413">
        <v>2</v>
      </c>
    </row>
    <row r="5" spans="1:18" ht="15" customHeight="1">
      <c r="B5" s="15"/>
    </row>
    <row r="6" spans="1:18" ht="15" customHeight="1">
      <c r="C6" s="425" t="s">
        <v>27</v>
      </c>
      <c r="D6" s="425"/>
      <c r="E6" s="425"/>
      <c r="F6" s="425"/>
      <c r="G6" s="425"/>
      <c r="H6" s="424" t="s">
        <v>28</v>
      </c>
      <c r="I6" s="424"/>
      <c r="J6" s="424"/>
      <c r="K6" s="424"/>
      <c r="L6" s="424"/>
      <c r="M6" s="424"/>
      <c r="N6" s="426" t="s">
        <v>983</v>
      </c>
      <c r="O6" s="426"/>
      <c r="P6" s="426"/>
      <c r="Q6" s="426"/>
      <c r="R6" s="426"/>
    </row>
    <row r="7" spans="1:18" ht="15" customHeight="1">
      <c r="B7" s="12" t="s">
        <v>26</v>
      </c>
      <c r="C7" s="13">
        <f>'P&amp;L'!G2</f>
        <v>2020</v>
      </c>
      <c r="D7" s="13">
        <f>'P&amp;L'!H2</f>
        <v>2021</v>
      </c>
      <c r="E7" s="13">
        <f>'P&amp;L'!I2</f>
        <v>2022</v>
      </c>
      <c r="F7" s="13">
        <f>'P&amp;L'!J2</f>
        <v>2023</v>
      </c>
      <c r="G7" s="13">
        <f>'P&amp;L'!K2</f>
        <v>2024</v>
      </c>
      <c r="H7" s="13">
        <f t="shared" ref="H7:M7" si="0">G7+1</f>
        <v>2025</v>
      </c>
      <c r="I7" s="13">
        <f t="shared" si="0"/>
        <v>2026</v>
      </c>
      <c r="J7" s="13">
        <f t="shared" si="0"/>
        <v>2027</v>
      </c>
      <c r="K7" s="13">
        <f t="shared" si="0"/>
        <v>2028</v>
      </c>
      <c r="L7" s="13">
        <f t="shared" si="0"/>
        <v>2029</v>
      </c>
      <c r="M7" s="13">
        <f t="shared" si="0"/>
        <v>2030</v>
      </c>
      <c r="N7" s="13">
        <f t="shared" ref="N7" si="1">M7+1</f>
        <v>2031</v>
      </c>
      <c r="O7" s="13">
        <f t="shared" ref="O7" si="2">N7+1</f>
        <v>2032</v>
      </c>
      <c r="P7" s="13">
        <f t="shared" ref="P7" si="3">O7+1</f>
        <v>2033</v>
      </c>
      <c r="Q7" s="13">
        <f t="shared" ref="Q7" si="4">P7+1</f>
        <v>2034</v>
      </c>
      <c r="R7" s="13">
        <f t="shared" ref="R7" si="5">Q7+1</f>
        <v>2035</v>
      </c>
    </row>
    <row r="8" spans="1:18" ht="15" customHeight="1">
      <c r="B8" s="66"/>
      <c r="C8" s="68"/>
      <c r="D8" s="68"/>
      <c r="E8" s="68"/>
      <c r="F8" s="68"/>
      <c r="G8" s="68"/>
      <c r="H8" s="68"/>
      <c r="I8" s="68"/>
      <c r="J8" s="68"/>
      <c r="K8" s="68"/>
      <c r="L8" s="68"/>
      <c r="M8" s="68"/>
      <c r="N8" s="68"/>
      <c r="O8" s="68"/>
      <c r="P8" s="68"/>
      <c r="Q8" s="68"/>
      <c r="R8" s="68"/>
    </row>
    <row r="9" spans="1:18" ht="15" customHeight="1">
      <c r="A9" t="s">
        <v>29</v>
      </c>
      <c r="B9" s="16" t="s">
        <v>664</v>
      </c>
      <c r="C9" s="14"/>
      <c r="D9" s="14"/>
      <c r="E9" s="14"/>
      <c r="F9" s="14"/>
      <c r="G9" s="14"/>
      <c r="H9" s="14"/>
      <c r="I9" s="14"/>
      <c r="J9" s="14"/>
      <c r="K9" s="14"/>
      <c r="L9" s="14"/>
      <c r="M9" s="14"/>
      <c r="N9" s="14"/>
      <c r="O9" s="14"/>
      <c r="P9" s="14"/>
      <c r="Q9" s="14"/>
      <c r="R9" s="14"/>
    </row>
    <row r="10" spans="1:18" ht="15" customHeight="1"/>
    <row r="11" spans="1:18" ht="18">
      <c r="A11" t="s">
        <v>29</v>
      </c>
      <c r="B11" s="16" t="s">
        <v>661</v>
      </c>
      <c r="C11" s="14"/>
      <c r="D11" s="14"/>
      <c r="E11" s="14"/>
      <c r="F11" s="14"/>
      <c r="G11" s="14"/>
      <c r="H11" s="14"/>
      <c r="I11" s="14"/>
      <c r="J11" s="14"/>
      <c r="K11" s="14"/>
      <c r="L11" s="14"/>
      <c r="M11" s="14"/>
      <c r="N11" s="14"/>
      <c r="O11" s="14"/>
      <c r="P11" s="14"/>
      <c r="Q11" s="14"/>
      <c r="R11" s="14"/>
    </row>
    <row r="13" spans="1:18">
      <c r="B13" s="22" t="s">
        <v>352</v>
      </c>
    </row>
    <row r="14" spans="1:18">
      <c r="B14" s="19" t="s">
        <v>30</v>
      </c>
      <c r="C14" s="292">
        <f>'P&amp;L'!G4</f>
        <v>-6.5632336429519267E-2</v>
      </c>
      <c r="D14" s="292">
        <f>'P&amp;L'!H4</f>
        <v>-4.7410967882892674E-2</v>
      </c>
      <c r="E14" s="292">
        <f>'P&amp;L'!I4</f>
        <v>0.18096330275229366</v>
      </c>
      <c r="F14" s="292">
        <f>'P&amp;L'!J4</f>
        <v>0.40240823460866193</v>
      </c>
      <c r="G14" s="292">
        <f>'P&amp;L'!K4</f>
        <v>0.14499376817615284</v>
      </c>
      <c r="H14" s="39">
        <v>0.14119999999999999</v>
      </c>
      <c r="I14" s="39">
        <v>0.16</v>
      </c>
      <c r="J14" s="137">
        <f>I14-(($I$14-$M$14)/($M$7-$I$7))</f>
        <v>0.13500000000000001</v>
      </c>
      <c r="K14" s="137">
        <f t="shared" ref="K14:L14" si="6">J14-(($I$14-$M$14)/($M$7-$I$7))</f>
        <v>0.11000000000000001</v>
      </c>
      <c r="L14" s="137">
        <f t="shared" si="6"/>
        <v>8.500000000000002E-2</v>
      </c>
      <c r="M14" s="39">
        <v>0.06</v>
      </c>
      <c r="N14" s="39">
        <v>5.5E-2</v>
      </c>
      <c r="O14" s="39">
        <v>0.05</v>
      </c>
      <c r="P14" s="39">
        <v>4.4999999999999998E-2</v>
      </c>
      <c r="Q14" s="39">
        <v>4.2500000000000003E-2</v>
      </c>
      <c r="R14" s="39">
        <v>0.04</v>
      </c>
    </row>
    <row r="15" spans="1:18">
      <c r="B15" s="19" t="s">
        <v>366</v>
      </c>
      <c r="C15" s="136">
        <f>C14</f>
        <v>-6.5632336429519267E-2</v>
      </c>
      <c r="D15" s="136">
        <f t="shared" ref="D15:G16" si="7">D14</f>
        <v>-4.7410967882892674E-2</v>
      </c>
      <c r="E15" s="136">
        <f t="shared" si="7"/>
        <v>0.18096330275229366</v>
      </c>
      <c r="F15" s="136">
        <f t="shared" si="7"/>
        <v>0.40240823460866193</v>
      </c>
      <c r="G15" s="136">
        <f t="shared" si="7"/>
        <v>0.14499376817615284</v>
      </c>
      <c r="H15" s="39">
        <v>0.14119999999999999</v>
      </c>
      <c r="I15" s="39">
        <v>0.15</v>
      </c>
      <c r="J15" s="39">
        <v>0.17</v>
      </c>
      <c r="K15" s="137">
        <f>J15-(($J$15-$M$15)/($M$7-$J$7))</f>
        <v>0.13333333333333333</v>
      </c>
      <c r="L15" s="137">
        <f>K15-(($J$15-$M$15)/($M$7-$J$7))</f>
        <v>9.6666666666666651E-2</v>
      </c>
      <c r="M15" s="39">
        <v>0.06</v>
      </c>
      <c r="N15" s="39">
        <v>5.5E-2</v>
      </c>
      <c r="O15" s="39">
        <v>0.05</v>
      </c>
      <c r="P15" s="39">
        <v>4.4999999999999998E-2</v>
      </c>
      <c r="Q15" s="39">
        <v>4.2500000000000003E-2</v>
      </c>
      <c r="R15" s="39">
        <v>0.04</v>
      </c>
    </row>
    <row r="16" spans="1:18">
      <c r="B16" s="19" t="s">
        <v>31</v>
      </c>
      <c r="C16" s="136">
        <f>C15</f>
        <v>-6.5632336429519267E-2</v>
      </c>
      <c r="D16" s="136">
        <f t="shared" si="7"/>
        <v>-4.7410967882892674E-2</v>
      </c>
      <c r="E16" s="136">
        <f t="shared" si="7"/>
        <v>0.18096330275229366</v>
      </c>
      <c r="F16" s="136">
        <f t="shared" si="7"/>
        <v>0.40240823460866193</v>
      </c>
      <c r="G16" s="136">
        <f t="shared" si="7"/>
        <v>0.14499376817615284</v>
      </c>
      <c r="H16" s="39">
        <v>0.14119999999999999</v>
      </c>
      <c r="I16" s="39">
        <v>0.12</v>
      </c>
      <c r="J16" s="137">
        <f>I16-(($I$16-$M$16)/($M$7-$I$7))</f>
        <v>0.105</v>
      </c>
      <c r="K16" s="137">
        <f t="shared" ref="K16:L16" si="8">J16-(($I$16-$M$16)/($M$7-$I$7))</f>
        <v>0.09</v>
      </c>
      <c r="L16" s="137">
        <f t="shared" si="8"/>
        <v>7.4999999999999997E-2</v>
      </c>
      <c r="M16" s="39">
        <v>0.06</v>
      </c>
      <c r="N16" s="39">
        <v>5.5E-2</v>
      </c>
      <c r="O16" s="39">
        <v>0.05</v>
      </c>
      <c r="P16" s="39">
        <v>4.4999999999999998E-2</v>
      </c>
      <c r="Q16" s="39">
        <v>4.2500000000000003E-2</v>
      </c>
      <c r="R16" s="39">
        <v>0.04</v>
      </c>
    </row>
    <row r="17" spans="1:18">
      <c r="B17" s="20" t="str">
        <f>"Current Case - "&amp;CHOOSE($H$4,B14,B15,B16)</f>
        <v>Current Case - Base Case</v>
      </c>
      <c r="C17" s="21"/>
      <c r="D17" s="21"/>
      <c r="E17" s="21"/>
      <c r="F17" s="21"/>
      <c r="G17" s="21"/>
      <c r="H17" s="41">
        <f t="shared" ref="H17:M17" si="9">CHOOSE($H$4,H14,H15,H16)</f>
        <v>0.14119999999999999</v>
      </c>
      <c r="I17" s="41">
        <f t="shared" si="9"/>
        <v>0.15</v>
      </c>
      <c r="J17" s="41">
        <f t="shared" si="9"/>
        <v>0.17</v>
      </c>
      <c r="K17" s="41">
        <f t="shared" si="9"/>
        <v>0.13333333333333333</v>
      </c>
      <c r="L17" s="41">
        <f t="shared" si="9"/>
        <v>9.6666666666666651E-2</v>
      </c>
      <c r="M17" s="41">
        <f t="shared" si="9"/>
        <v>0.06</v>
      </c>
      <c r="N17" s="41">
        <f t="shared" ref="N17:R17" si="10">CHOOSE($H$4,N14,N15,N16)</f>
        <v>5.5E-2</v>
      </c>
      <c r="O17" s="41">
        <f t="shared" si="10"/>
        <v>0.05</v>
      </c>
      <c r="P17" s="41">
        <f t="shared" si="10"/>
        <v>4.4999999999999998E-2</v>
      </c>
      <c r="Q17" s="41">
        <f t="shared" si="10"/>
        <v>4.2500000000000003E-2</v>
      </c>
      <c r="R17" s="41">
        <f t="shared" si="10"/>
        <v>0.04</v>
      </c>
    </row>
    <row r="19" spans="1:18" ht="18">
      <c r="A19" t="s">
        <v>29</v>
      </c>
      <c r="B19" s="16" t="s">
        <v>662</v>
      </c>
      <c r="C19" s="14"/>
      <c r="D19" s="14"/>
      <c r="E19" s="14"/>
      <c r="F19" s="14"/>
      <c r="G19" s="14"/>
      <c r="H19" s="14"/>
      <c r="I19" s="14"/>
      <c r="J19" s="14"/>
      <c r="K19" s="14"/>
      <c r="L19" s="14"/>
      <c r="M19" s="14"/>
      <c r="N19" s="14"/>
      <c r="O19" s="14"/>
      <c r="P19" s="14"/>
      <c r="Q19" s="14"/>
      <c r="R19" s="14"/>
    </row>
    <row r="21" spans="1:18">
      <c r="B21" s="22" t="s">
        <v>420</v>
      </c>
    </row>
    <row r="22" spans="1:18">
      <c r="B22" s="19" t="s">
        <v>30</v>
      </c>
      <c r="C22" s="292">
        <f>'P&amp;L'!G17</f>
        <v>0.45422766003932702</v>
      </c>
      <c r="D22" s="292">
        <f>'P&amp;L'!H17</f>
        <v>0.41376146788990831</v>
      </c>
      <c r="E22" s="292">
        <f>'P&amp;L'!I17</f>
        <v>0.42163526898426884</v>
      </c>
      <c r="F22" s="292">
        <f>'P&amp;L'!J17</f>
        <v>0.43138069519457134</v>
      </c>
      <c r="G22" s="292">
        <f>'P&amp;L'!K17</f>
        <v>0.45688195452346392</v>
      </c>
      <c r="H22" s="39">
        <v>0.4456</v>
      </c>
      <c r="I22" s="39">
        <v>0.45419999999999999</v>
      </c>
      <c r="J22" s="137">
        <f>I22</f>
        <v>0.45419999999999999</v>
      </c>
      <c r="K22" s="137">
        <f>J22</f>
        <v>0.45419999999999999</v>
      </c>
      <c r="L22" s="137">
        <f>K22</f>
        <v>0.45419999999999999</v>
      </c>
      <c r="M22" s="137">
        <f>L22</f>
        <v>0.45419999999999999</v>
      </c>
      <c r="N22" s="137">
        <f t="shared" ref="N22:R22" si="11">M22</f>
        <v>0.45419999999999999</v>
      </c>
      <c r="O22" s="137">
        <f t="shared" si="11"/>
        <v>0.45419999999999999</v>
      </c>
      <c r="P22" s="39">
        <v>0.46</v>
      </c>
      <c r="Q22" s="137">
        <f t="shared" si="11"/>
        <v>0.46</v>
      </c>
      <c r="R22" s="137">
        <f t="shared" si="11"/>
        <v>0.46</v>
      </c>
    </row>
    <row r="23" spans="1:18">
      <c r="B23" s="19" t="s">
        <v>366</v>
      </c>
      <c r="C23" s="136">
        <f>C22</f>
        <v>0.45422766003932702</v>
      </c>
      <c r="D23" s="136">
        <f t="shared" ref="D23:G23" si="12">D22</f>
        <v>0.41376146788990831</v>
      </c>
      <c r="E23" s="136">
        <f t="shared" si="12"/>
        <v>0.42163526898426884</v>
      </c>
      <c r="F23" s="136">
        <f t="shared" si="12"/>
        <v>0.43138069519457134</v>
      </c>
      <c r="G23" s="136">
        <f t="shared" si="12"/>
        <v>0.45688195452346392</v>
      </c>
      <c r="H23" s="39">
        <v>0.4456</v>
      </c>
      <c r="I23" s="39">
        <v>0.44</v>
      </c>
      <c r="J23" s="39">
        <v>0.45</v>
      </c>
      <c r="K23" s="39">
        <v>0.45500000000000002</v>
      </c>
      <c r="L23" s="39">
        <v>0.45</v>
      </c>
      <c r="M23" s="39">
        <v>0.45</v>
      </c>
      <c r="N23" s="39">
        <v>0.45</v>
      </c>
      <c r="O23" s="39">
        <v>0.45</v>
      </c>
      <c r="P23" s="39">
        <v>0.45</v>
      </c>
      <c r="Q23" s="39">
        <v>0.45</v>
      </c>
      <c r="R23" s="39">
        <v>0.45</v>
      </c>
    </row>
    <row r="24" spans="1:18">
      <c r="B24" s="19" t="s">
        <v>31</v>
      </c>
      <c r="C24" s="136">
        <f>C23</f>
        <v>0.45422766003932702</v>
      </c>
      <c r="D24" s="136">
        <f t="shared" ref="D24:G24" si="13">D23</f>
        <v>0.41376146788990831</v>
      </c>
      <c r="E24" s="136">
        <f t="shared" si="13"/>
        <v>0.42163526898426884</v>
      </c>
      <c r="F24" s="136">
        <f t="shared" si="13"/>
        <v>0.43138069519457134</v>
      </c>
      <c r="G24" s="136">
        <f t="shared" si="13"/>
        <v>0.45688195452346392</v>
      </c>
      <c r="H24" s="39">
        <v>0.4456</v>
      </c>
      <c r="I24" s="39">
        <v>0.42</v>
      </c>
      <c r="J24" s="137">
        <f>I24</f>
        <v>0.42</v>
      </c>
      <c r="K24" s="137">
        <f>J24</f>
        <v>0.42</v>
      </c>
      <c r="L24" s="137">
        <f>K24</f>
        <v>0.42</v>
      </c>
      <c r="M24" s="137">
        <f>L24</f>
        <v>0.42</v>
      </c>
      <c r="N24" s="137">
        <f t="shared" ref="N24:R24" si="14">M24</f>
        <v>0.42</v>
      </c>
      <c r="O24" s="137">
        <f t="shared" si="14"/>
        <v>0.42</v>
      </c>
      <c r="P24" s="39">
        <v>0.46</v>
      </c>
      <c r="Q24" s="137">
        <f t="shared" si="14"/>
        <v>0.46</v>
      </c>
      <c r="R24" s="137">
        <f t="shared" si="14"/>
        <v>0.46</v>
      </c>
    </row>
    <row r="25" spans="1:18">
      <c r="B25" s="20" t="str">
        <f>"Current Case - "&amp;CHOOSE($H$4,B22,B23,B24)</f>
        <v>Current Case - Base Case</v>
      </c>
      <c r="C25" s="21"/>
      <c r="D25" s="21"/>
      <c r="E25" s="21"/>
      <c r="F25" s="21"/>
      <c r="G25" s="21"/>
      <c r="H25" s="41">
        <f t="shared" ref="H25:M25" si="15">CHOOSE($H$4,H22,H23,H24)</f>
        <v>0.4456</v>
      </c>
      <c r="I25" s="41">
        <f t="shared" si="15"/>
        <v>0.44</v>
      </c>
      <c r="J25" s="41">
        <f t="shared" si="15"/>
        <v>0.45</v>
      </c>
      <c r="K25" s="41">
        <f t="shared" si="15"/>
        <v>0.45500000000000002</v>
      </c>
      <c r="L25" s="41">
        <f t="shared" si="15"/>
        <v>0.45</v>
      </c>
      <c r="M25" s="41">
        <f t="shared" si="15"/>
        <v>0.45</v>
      </c>
      <c r="N25" s="41">
        <f t="shared" ref="N25:R25" si="16">CHOOSE($H$4,N22,N23,N24)</f>
        <v>0.45</v>
      </c>
      <c r="O25" s="41">
        <f t="shared" si="16"/>
        <v>0.45</v>
      </c>
      <c r="P25" s="41">
        <f t="shared" si="16"/>
        <v>0.45</v>
      </c>
      <c r="Q25" s="41">
        <f t="shared" si="16"/>
        <v>0.45</v>
      </c>
      <c r="R25" s="41">
        <f t="shared" si="16"/>
        <v>0.45</v>
      </c>
    </row>
    <row r="27" spans="1:18">
      <c r="B27" s="290" t="s">
        <v>354</v>
      </c>
      <c r="C27" s="274">
        <f>'P&amp;L'!G16</f>
        <v>0.54577233996067298</v>
      </c>
      <c r="D27" s="274">
        <f>'P&amp;L'!H16</f>
        <v>0.58623853211009169</v>
      </c>
      <c r="E27" s="274">
        <f>'P&amp;L'!I16</f>
        <v>0.57836473101573116</v>
      </c>
      <c r="F27" s="274">
        <f>'P&amp;L'!J16</f>
        <v>0.56861930480542866</v>
      </c>
      <c r="G27" s="274">
        <f>'P&amp;L'!K16</f>
        <v>0.54311804547653608</v>
      </c>
      <c r="H27" s="291">
        <f>1-H25</f>
        <v>0.5544</v>
      </c>
      <c r="I27" s="291">
        <f t="shared" ref="I27:M27" si="17">1-I25</f>
        <v>0.56000000000000005</v>
      </c>
      <c r="J27" s="291">
        <f t="shared" si="17"/>
        <v>0.55000000000000004</v>
      </c>
      <c r="K27" s="291">
        <f t="shared" si="17"/>
        <v>0.54499999999999993</v>
      </c>
      <c r="L27" s="291">
        <f t="shared" si="17"/>
        <v>0.55000000000000004</v>
      </c>
      <c r="M27" s="291">
        <f t="shared" si="17"/>
        <v>0.55000000000000004</v>
      </c>
      <c r="N27" s="291">
        <f t="shared" ref="N27:R27" si="18">1-N25</f>
        <v>0.55000000000000004</v>
      </c>
      <c r="O27" s="291">
        <f t="shared" si="18"/>
        <v>0.55000000000000004</v>
      </c>
      <c r="P27" s="291">
        <f t="shared" si="18"/>
        <v>0.55000000000000004</v>
      </c>
      <c r="Q27" s="291">
        <f t="shared" si="18"/>
        <v>0.55000000000000004</v>
      </c>
      <c r="R27" s="291">
        <f t="shared" si="18"/>
        <v>0.55000000000000004</v>
      </c>
    </row>
    <row r="29" spans="1:18" ht="18">
      <c r="A29" t="s">
        <v>29</v>
      </c>
      <c r="B29" s="16" t="s">
        <v>663</v>
      </c>
      <c r="C29" s="14"/>
      <c r="D29" s="14"/>
      <c r="E29" s="14"/>
      <c r="F29" s="14"/>
      <c r="G29" s="14"/>
      <c r="H29" s="14"/>
      <c r="I29" s="14"/>
      <c r="J29" s="14"/>
      <c r="K29" s="14"/>
      <c r="L29" s="14"/>
      <c r="M29" s="14"/>
      <c r="N29" s="14"/>
      <c r="O29" s="14"/>
      <c r="P29" s="14"/>
      <c r="Q29" s="14"/>
      <c r="R29" s="14"/>
    </row>
    <row r="31" spans="1:18">
      <c r="B31" s="22" t="s">
        <v>432</v>
      </c>
    </row>
    <row r="32" spans="1:18">
      <c r="B32" s="19" t="s">
        <v>30</v>
      </c>
      <c r="C32" s="292">
        <f>Assumptions!G242</f>
        <v>8.6956521739130432E-2</v>
      </c>
      <c r="D32" s="292">
        <f>Assumptions!H242</f>
        <v>9.66743119266055E-2</v>
      </c>
      <c r="E32" s="292">
        <f>Assumptions!I242</f>
        <v>7.9724218294814533E-2</v>
      </c>
      <c r="F32" s="292">
        <f>Assumptions!J242</f>
        <v>6.9380972164520147E-2</v>
      </c>
      <c r="G32" s="292">
        <f>Assumptions!K242</f>
        <v>7.474600870827286E-2</v>
      </c>
      <c r="H32" s="39">
        <v>7.1999999999999995E-2</v>
      </c>
      <c r="I32" s="39">
        <v>7.1999999999999995E-2</v>
      </c>
      <c r="J32" s="39">
        <v>7.1999999999999995E-2</v>
      </c>
      <c r="K32" s="39">
        <v>7.1999999999999995E-2</v>
      </c>
      <c r="L32" s="39">
        <v>7.1999999999999995E-2</v>
      </c>
      <c r="M32" s="39">
        <v>7.1999999999999995E-2</v>
      </c>
      <c r="N32" s="39">
        <v>7.1999999999999995E-2</v>
      </c>
      <c r="O32" s="39">
        <v>7.1999999999999995E-2</v>
      </c>
      <c r="P32" s="39">
        <v>7.1999999999999995E-2</v>
      </c>
      <c r="Q32" s="39">
        <v>7.1999999999999995E-2</v>
      </c>
      <c r="R32" s="39">
        <v>7.1999999999999995E-2</v>
      </c>
    </row>
    <row r="33" spans="2:18">
      <c r="B33" s="19" t="s">
        <v>366</v>
      </c>
      <c r="C33" s="136">
        <f>C32</f>
        <v>8.6956521739130432E-2</v>
      </c>
      <c r="D33" s="136">
        <f t="shared" ref="D33:G33" si="19">D32</f>
        <v>9.66743119266055E-2</v>
      </c>
      <c r="E33" s="136">
        <f t="shared" si="19"/>
        <v>7.9724218294814533E-2</v>
      </c>
      <c r="F33" s="136">
        <f t="shared" si="19"/>
        <v>6.9380972164520147E-2</v>
      </c>
      <c r="G33" s="136">
        <f t="shared" si="19"/>
        <v>7.474600870827286E-2</v>
      </c>
      <c r="H33" s="39">
        <v>7.1999999999999995E-2</v>
      </c>
      <c r="I33" s="39">
        <v>7.1999999999999995E-2</v>
      </c>
      <c r="J33" s="39">
        <v>7.1999999999999995E-2</v>
      </c>
      <c r="K33" s="39">
        <v>7.1999999999999995E-2</v>
      </c>
      <c r="L33" s="39">
        <v>7.1999999999999995E-2</v>
      </c>
      <c r="M33" s="39">
        <v>7.1999999999999995E-2</v>
      </c>
      <c r="N33" s="39">
        <v>7.1999999999999995E-2</v>
      </c>
      <c r="O33" s="39">
        <v>7.1999999999999995E-2</v>
      </c>
      <c r="P33" s="39">
        <v>7.1999999999999995E-2</v>
      </c>
      <c r="Q33" s="39">
        <v>7.1999999999999995E-2</v>
      </c>
      <c r="R33" s="39">
        <v>7.1999999999999995E-2</v>
      </c>
    </row>
    <row r="34" spans="2:18">
      <c r="B34" s="19" t="s">
        <v>31</v>
      </c>
      <c r="C34" s="136">
        <f>C33</f>
        <v>8.6956521739130432E-2</v>
      </c>
      <c r="D34" s="136">
        <f t="shared" ref="D34:G34" si="20">D33</f>
        <v>9.66743119266055E-2</v>
      </c>
      <c r="E34" s="136">
        <f t="shared" si="20"/>
        <v>7.9724218294814533E-2</v>
      </c>
      <c r="F34" s="136">
        <f t="shared" si="20"/>
        <v>6.9380972164520147E-2</v>
      </c>
      <c r="G34" s="136">
        <f t="shared" si="20"/>
        <v>7.474600870827286E-2</v>
      </c>
      <c r="H34" s="39">
        <v>7.1999999999999995E-2</v>
      </c>
      <c r="I34" s="39">
        <v>7.1999999999999995E-2</v>
      </c>
      <c r="J34" s="39">
        <v>7.1999999999999995E-2</v>
      </c>
      <c r="K34" s="39">
        <v>7.1999999999999995E-2</v>
      </c>
      <c r="L34" s="39">
        <v>7.1999999999999995E-2</v>
      </c>
      <c r="M34" s="39">
        <v>7.1999999999999995E-2</v>
      </c>
      <c r="N34" s="39">
        <v>7.1999999999999995E-2</v>
      </c>
      <c r="O34" s="39">
        <v>7.1999999999999995E-2</v>
      </c>
      <c r="P34" s="39">
        <v>7.1999999999999995E-2</v>
      </c>
      <c r="Q34" s="39">
        <v>7.1999999999999995E-2</v>
      </c>
      <c r="R34" s="39">
        <v>7.1999999999999995E-2</v>
      </c>
    </row>
    <row r="35" spans="2:18">
      <c r="B35" s="20" t="str">
        <f>"Current Case - "&amp;CHOOSE($H$4,B32,B33,B34)</f>
        <v>Current Case - Base Case</v>
      </c>
      <c r="C35" s="21"/>
      <c r="D35" s="21"/>
      <c r="E35" s="21"/>
      <c r="F35" s="21"/>
      <c r="G35" s="21"/>
      <c r="H35" s="41">
        <f t="shared" ref="H35:M35" si="21">CHOOSE($H$4,H32,H33,H34)</f>
        <v>7.1999999999999995E-2</v>
      </c>
      <c r="I35" s="41">
        <f t="shared" si="21"/>
        <v>7.1999999999999995E-2</v>
      </c>
      <c r="J35" s="41">
        <f t="shared" si="21"/>
        <v>7.1999999999999995E-2</v>
      </c>
      <c r="K35" s="41">
        <f t="shared" si="21"/>
        <v>7.1999999999999995E-2</v>
      </c>
      <c r="L35" s="41">
        <f t="shared" si="21"/>
        <v>7.1999999999999995E-2</v>
      </c>
      <c r="M35" s="41">
        <f t="shared" si="21"/>
        <v>7.1999999999999995E-2</v>
      </c>
      <c r="N35" s="41">
        <f t="shared" ref="N35:R35" si="22">CHOOSE($H$4,N32,N33,N34)</f>
        <v>7.1999999999999995E-2</v>
      </c>
      <c r="O35" s="41">
        <f t="shared" si="22"/>
        <v>7.1999999999999995E-2</v>
      </c>
      <c r="P35" s="41">
        <f t="shared" si="22"/>
        <v>7.1999999999999995E-2</v>
      </c>
      <c r="Q35" s="41">
        <f t="shared" si="22"/>
        <v>7.1999999999999995E-2</v>
      </c>
      <c r="R35" s="41">
        <f t="shared" si="22"/>
        <v>7.1999999999999995E-2</v>
      </c>
    </row>
    <row r="37" spans="2:18">
      <c r="B37" s="22" t="s">
        <v>433</v>
      </c>
    </row>
    <row r="38" spans="2:18">
      <c r="B38" s="19" t="s">
        <v>30</v>
      </c>
      <c r="C38" s="292">
        <f>Assumptions!G243</f>
        <v>5.1015949311776269E-2</v>
      </c>
      <c r="D38" s="292">
        <f>Assumptions!H243</f>
        <v>4.3004587155963302E-2</v>
      </c>
      <c r="E38" s="292">
        <f>Assumptions!I243</f>
        <v>5.9720334045445717E-2</v>
      </c>
      <c r="F38" s="292">
        <f>Assumptions!J243</f>
        <v>5.1308683007893645E-2</v>
      </c>
      <c r="G38" s="292">
        <f>Assumptions!K243</f>
        <v>5.2431059506531208E-2</v>
      </c>
      <c r="H38" s="39">
        <v>4.3999999999999997E-2</v>
      </c>
      <c r="I38" s="39">
        <v>4.3999999999999997E-2</v>
      </c>
      <c r="J38" s="39">
        <v>4.3999999999999997E-2</v>
      </c>
      <c r="K38" s="39">
        <v>4.3999999999999997E-2</v>
      </c>
      <c r="L38" s="39">
        <v>4.3999999999999997E-2</v>
      </c>
      <c r="M38" s="39">
        <v>4.3999999999999997E-2</v>
      </c>
      <c r="N38" s="39">
        <v>4.3999999999999997E-2</v>
      </c>
      <c r="O38" s="39">
        <v>4.3999999999999997E-2</v>
      </c>
      <c r="P38" s="39">
        <v>4.3999999999999997E-2</v>
      </c>
      <c r="Q38" s="39">
        <v>4.3999999999999997E-2</v>
      </c>
      <c r="R38" s="39">
        <v>4.3999999999999997E-2</v>
      </c>
    </row>
    <row r="39" spans="2:18">
      <c r="B39" s="19" t="s">
        <v>366</v>
      </c>
      <c r="C39" s="136">
        <f>C38</f>
        <v>5.1015949311776269E-2</v>
      </c>
      <c r="D39" s="136">
        <f t="shared" ref="D39:G39" si="23">D38</f>
        <v>4.3004587155963302E-2</v>
      </c>
      <c r="E39" s="136">
        <f t="shared" si="23"/>
        <v>5.9720334045445717E-2</v>
      </c>
      <c r="F39" s="136">
        <f t="shared" si="23"/>
        <v>5.1308683007893645E-2</v>
      </c>
      <c r="G39" s="136">
        <f t="shared" si="23"/>
        <v>5.2431059506531208E-2</v>
      </c>
      <c r="H39" s="39">
        <v>4.3999999999999997E-2</v>
      </c>
      <c r="I39" s="39">
        <v>4.3999999999999997E-2</v>
      </c>
      <c r="J39" s="39">
        <v>4.3999999999999997E-2</v>
      </c>
      <c r="K39" s="39">
        <v>4.3999999999999997E-2</v>
      </c>
      <c r="L39" s="39">
        <v>4.3999999999999997E-2</v>
      </c>
      <c r="M39" s="39">
        <v>4.3999999999999997E-2</v>
      </c>
      <c r="N39" s="39">
        <v>4.3999999999999997E-2</v>
      </c>
      <c r="O39" s="39">
        <v>4.3999999999999997E-2</v>
      </c>
      <c r="P39" s="39">
        <v>4.3999999999999997E-2</v>
      </c>
      <c r="Q39" s="39">
        <v>4.3999999999999997E-2</v>
      </c>
      <c r="R39" s="39">
        <v>4.3999999999999997E-2</v>
      </c>
    </row>
    <row r="40" spans="2:18">
      <c r="B40" s="19" t="s">
        <v>31</v>
      </c>
      <c r="C40" s="136">
        <f>C39</f>
        <v>5.1015949311776269E-2</v>
      </c>
      <c r="D40" s="136">
        <f t="shared" ref="D40:G40" si="24">D39</f>
        <v>4.3004587155963302E-2</v>
      </c>
      <c r="E40" s="136">
        <f t="shared" si="24"/>
        <v>5.9720334045445717E-2</v>
      </c>
      <c r="F40" s="136">
        <f t="shared" si="24"/>
        <v>5.1308683007893645E-2</v>
      </c>
      <c r="G40" s="136">
        <f t="shared" si="24"/>
        <v>5.2431059506531208E-2</v>
      </c>
      <c r="H40" s="39">
        <v>4.3999999999999997E-2</v>
      </c>
      <c r="I40" s="39">
        <v>4.3999999999999997E-2</v>
      </c>
      <c r="J40" s="39">
        <v>4.3999999999999997E-2</v>
      </c>
      <c r="K40" s="39">
        <v>4.3999999999999997E-2</v>
      </c>
      <c r="L40" s="39">
        <v>4.3999999999999997E-2</v>
      </c>
      <c r="M40" s="39">
        <v>4.3999999999999997E-2</v>
      </c>
      <c r="N40" s="39">
        <v>4.3999999999999997E-2</v>
      </c>
      <c r="O40" s="39">
        <v>4.3999999999999997E-2</v>
      </c>
      <c r="P40" s="39">
        <v>4.3999999999999997E-2</v>
      </c>
      <c r="Q40" s="39">
        <v>4.3999999999999997E-2</v>
      </c>
      <c r="R40" s="39">
        <v>4.3999999999999997E-2</v>
      </c>
    </row>
    <row r="41" spans="2:18">
      <c r="B41" s="20" t="str">
        <f>"Current Case - "&amp;CHOOSE($H$4,B38,B39,B40)</f>
        <v>Current Case - Base Case</v>
      </c>
      <c r="C41" s="21"/>
      <c r="D41" s="21"/>
      <c r="E41" s="21"/>
      <c r="F41" s="21"/>
      <c r="G41" s="21"/>
      <c r="H41" s="41">
        <f t="shared" ref="H41:M41" si="25">CHOOSE($H$4,H38,H39,H40)</f>
        <v>4.3999999999999997E-2</v>
      </c>
      <c r="I41" s="41">
        <f t="shared" si="25"/>
        <v>4.3999999999999997E-2</v>
      </c>
      <c r="J41" s="41">
        <f t="shared" si="25"/>
        <v>4.3999999999999997E-2</v>
      </c>
      <c r="K41" s="41">
        <f t="shared" si="25"/>
        <v>4.3999999999999997E-2</v>
      </c>
      <c r="L41" s="41">
        <f t="shared" si="25"/>
        <v>4.3999999999999997E-2</v>
      </c>
      <c r="M41" s="41">
        <f t="shared" si="25"/>
        <v>4.3999999999999997E-2</v>
      </c>
      <c r="N41" s="41">
        <f t="shared" ref="N41:R41" si="26">CHOOSE($H$4,N38,N39,N40)</f>
        <v>4.3999999999999997E-2</v>
      </c>
      <c r="O41" s="41">
        <f t="shared" si="26"/>
        <v>4.3999999999999997E-2</v>
      </c>
      <c r="P41" s="41">
        <f t="shared" si="26"/>
        <v>4.3999999999999997E-2</v>
      </c>
      <c r="Q41" s="41">
        <f t="shared" si="26"/>
        <v>4.3999999999999997E-2</v>
      </c>
      <c r="R41" s="41">
        <f t="shared" si="26"/>
        <v>4.3999999999999997E-2</v>
      </c>
    </row>
    <row r="43" spans="2:18">
      <c r="B43" s="22" t="s">
        <v>434</v>
      </c>
    </row>
    <row r="44" spans="2:18">
      <c r="B44" s="19" t="s">
        <v>30</v>
      </c>
      <c r="C44" s="292">
        <f>Assumptions!G244</f>
        <v>2.9276818876993665E-2</v>
      </c>
      <c r="D44" s="292">
        <f>Assumptions!H244</f>
        <v>2.9701834862385323E-2</v>
      </c>
      <c r="E44" s="292">
        <f>Assumptions!I244</f>
        <v>3.3404544571761507E-2</v>
      </c>
      <c r="F44" s="292">
        <f>Assumptions!J244</f>
        <v>2.8527904722337627E-2</v>
      </c>
      <c r="G44" s="292">
        <f>Assumptions!K244</f>
        <v>2.6124818577648767E-2</v>
      </c>
      <c r="H44" s="39">
        <v>2.8000000000000001E-2</v>
      </c>
      <c r="I44" s="39">
        <v>2.8000000000000001E-2</v>
      </c>
      <c r="J44" s="39">
        <v>2.8000000000000001E-2</v>
      </c>
      <c r="K44" s="39">
        <v>2.8000000000000001E-2</v>
      </c>
      <c r="L44" s="39">
        <v>2.8000000000000001E-2</v>
      </c>
      <c r="M44" s="39">
        <v>2.8000000000000001E-2</v>
      </c>
      <c r="N44" s="39">
        <v>2.8000000000000001E-2</v>
      </c>
      <c r="O44" s="39">
        <v>2.8000000000000001E-2</v>
      </c>
      <c r="P44" s="39">
        <v>2.8000000000000001E-2</v>
      </c>
      <c r="Q44" s="39">
        <v>2.8000000000000001E-2</v>
      </c>
      <c r="R44" s="39">
        <v>2.8000000000000001E-2</v>
      </c>
    </row>
    <row r="45" spans="2:18">
      <c r="B45" s="19" t="s">
        <v>366</v>
      </c>
      <c r="C45" s="136">
        <f>C44</f>
        <v>2.9276818876993665E-2</v>
      </c>
      <c r="D45" s="136">
        <f t="shared" ref="D45:G45" si="27">D44</f>
        <v>2.9701834862385323E-2</v>
      </c>
      <c r="E45" s="136">
        <f t="shared" si="27"/>
        <v>3.3404544571761507E-2</v>
      </c>
      <c r="F45" s="136">
        <f t="shared" si="27"/>
        <v>2.8527904722337627E-2</v>
      </c>
      <c r="G45" s="136">
        <f t="shared" si="27"/>
        <v>2.6124818577648767E-2</v>
      </c>
      <c r="H45" s="39">
        <v>2.8000000000000001E-2</v>
      </c>
      <c r="I45" s="39">
        <v>2.8000000000000001E-2</v>
      </c>
      <c r="J45" s="39">
        <v>2.8000000000000001E-2</v>
      </c>
      <c r="K45" s="39">
        <v>2.8000000000000001E-2</v>
      </c>
      <c r="L45" s="39">
        <v>2.8000000000000001E-2</v>
      </c>
      <c r="M45" s="39">
        <v>2.8000000000000001E-2</v>
      </c>
      <c r="N45" s="39">
        <v>2.8000000000000001E-2</v>
      </c>
      <c r="O45" s="39">
        <v>2.8000000000000001E-2</v>
      </c>
      <c r="P45" s="39">
        <v>2.8000000000000001E-2</v>
      </c>
      <c r="Q45" s="39">
        <v>2.8000000000000001E-2</v>
      </c>
      <c r="R45" s="39">
        <v>2.8000000000000001E-2</v>
      </c>
    </row>
    <row r="46" spans="2:18">
      <c r="B46" s="19" t="s">
        <v>31</v>
      </c>
      <c r="C46" s="136">
        <f>C45</f>
        <v>2.9276818876993665E-2</v>
      </c>
      <c r="D46" s="136">
        <f t="shared" ref="D46:G46" si="28">D45</f>
        <v>2.9701834862385323E-2</v>
      </c>
      <c r="E46" s="136">
        <f t="shared" si="28"/>
        <v>3.3404544571761507E-2</v>
      </c>
      <c r="F46" s="136">
        <f t="shared" si="28"/>
        <v>2.8527904722337627E-2</v>
      </c>
      <c r="G46" s="136">
        <f t="shared" si="28"/>
        <v>2.6124818577648767E-2</v>
      </c>
      <c r="H46" s="39">
        <v>2.8000000000000001E-2</v>
      </c>
      <c r="I46" s="39">
        <v>2.8000000000000001E-2</v>
      </c>
      <c r="J46" s="39">
        <v>2.8000000000000001E-2</v>
      </c>
      <c r="K46" s="39">
        <v>2.8000000000000001E-2</v>
      </c>
      <c r="L46" s="39">
        <v>2.8000000000000001E-2</v>
      </c>
      <c r="M46" s="39">
        <v>2.8000000000000001E-2</v>
      </c>
      <c r="N46" s="39">
        <v>2.8000000000000001E-2</v>
      </c>
      <c r="O46" s="39">
        <v>2.8000000000000001E-2</v>
      </c>
      <c r="P46" s="39">
        <v>2.8000000000000001E-2</v>
      </c>
      <c r="Q46" s="39">
        <v>2.8000000000000001E-2</v>
      </c>
      <c r="R46" s="39">
        <v>2.8000000000000001E-2</v>
      </c>
    </row>
    <row r="47" spans="2:18">
      <c r="B47" s="20" t="str">
        <f>"Current Case - "&amp;CHOOSE($H$4,B44,B45,B46)</f>
        <v>Current Case - Base Case</v>
      </c>
      <c r="C47" s="21"/>
      <c r="D47" s="21"/>
      <c r="E47" s="21"/>
      <c r="F47" s="21"/>
      <c r="G47" s="21"/>
      <c r="H47" s="41">
        <f t="shared" ref="H47:M47" si="29">CHOOSE($H$4,H44,H45,H46)</f>
        <v>2.8000000000000001E-2</v>
      </c>
      <c r="I47" s="41">
        <f t="shared" si="29"/>
        <v>2.8000000000000001E-2</v>
      </c>
      <c r="J47" s="41">
        <f t="shared" si="29"/>
        <v>2.8000000000000001E-2</v>
      </c>
      <c r="K47" s="41">
        <f t="shared" si="29"/>
        <v>2.8000000000000001E-2</v>
      </c>
      <c r="L47" s="41">
        <f t="shared" si="29"/>
        <v>2.8000000000000001E-2</v>
      </c>
      <c r="M47" s="41">
        <f t="shared" si="29"/>
        <v>2.8000000000000001E-2</v>
      </c>
      <c r="N47" s="41">
        <f t="shared" ref="N47:R47" si="30">CHOOSE($H$4,N44,N45,N46)</f>
        <v>2.8000000000000001E-2</v>
      </c>
      <c r="O47" s="41">
        <f t="shared" si="30"/>
        <v>2.8000000000000001E-2</v>
      </c>
      <c r="P47" s="41">
        <f t="shared" si="30"/>
        <v>2.8000000000000001E-2</v>
      </c>
      <c r="Q47" s="41">
        <f t="shared" si="30"/>
        <v>2.8000000000000001E-2</v>
      </c>
      <c r="R47" s="41">
        <f t="shared" si="30"/>
        <v>2.8000000000000001E-2</v>
      </c>
    </row>
    <row r="49" spans="1:18">
      <c r="B49" s="22" t="s">
        <v>436</v>
      </c>
    </row>
    <row r="50" spans="1:18">
      <c r="B50" s="19" t="s">
        <v>30</v>
      </c>
      <c r="C50" s="292">
        <f>Assumptions!G245</f>
        <v>4.8798339523705485E-2</v>
      </c>
      <c r="D50" s="292">
        <f>Assumptions!H245</f>
        <v>4.0126146788990825E-2</v>
      </c>
      <c r="E50" s="292">
        <f>Assumptions!I245</f>
        <v>3.7754903864828125E-2</v>
      </c>
      <c r="F50" s="292">
        <f>Assumptions!J245</f>
        <v>4.3705857914416286E-2</v>
      </c>
      <c r="G50" s="292">
        <f>Assumptions!K245</f>
        <v>4.2047653604257378E-2</v>
      </c>
      <c r="H50" s="39">
        <v>0.04</v>
      </c>
      <c r="I50" s="39">
        <v>0.04</v>
      </c>
      <c r="J50" s="39">
        <v>0.04</v>
      </c>
      <c r="K50" s="39">
        <v>0.04</v>
      </c>
      <c r="L50" s="39">
        <v>0.04</v>
      </c>
      <c r="M50" s="39">
        <v>0.04</v>
      </c>
      <c r="N50" s="39">
        <v>0.04</v>
      </c>
      <c r="O50" s="39">
        <v>0.04</v>
      </c>
      <c r="P50" s="39">
        <v>0.04</v>
      </c>
      <c r="Q50" s="39">
        <v>0.04</v>
      </c>
      <c r="R50" s="39">
        <v>0.04</v>
      </c>
    </row>
    <row r="51" spans="1:18">
      <c r="B51" s="19" t="s">
        <v>366</v>
      </c>
      <c r="C51" s="136">
        <f>C50</f>
        <v>4.8798339523705485E-2</v>
      </c>
      <c r="D51" s="136">
        <f t="shared" ref="D51:G51" si="31">D50</f>
        <v>4.0126146788990825E-2</v>
      </c>
      <c r="E51" s="136">
        <f t="shared" si="31"/>
        <v>3.7754903864828125E-2</v>
      </c>
      <c r="F51" s="136">
        <f t="shared" si="31"/>
        <v>4.3705857914416286E-2</v>
      </c>
      <c r="G51" s="136">
        <f t="shared" si="31"/>
        <v>4.2047653604257378E-2</v>
      </c>
      <c r="H51" s="39">
        <v>0.04</v>
      </c>
      <c r="I51" s="39">
        <v>0.04</v>
      </c>
      <c r="J51" s="39">
        <v>0.04</v>
      </c>
      <c r="K51" s="39">
        <v>0.04</v>
      </c>
      <c r="L51" s="39">
        <v>0.04</v>
      </c>
      <c r="M51" s="39">
        <v>0.04</v>
      </c>
      <c r="N51" s="39">
        <v>0.04</v>
      </c>
      <c r="O51" s="39">
        <v>0.04</v>
      </c>
      <c r="P51" s="39">
        <v>0.04</v>
      </c>
      <c r="Q51" s="39">
        <v>0.04</v>
      </c>
      <c r="R51" s="39">
        <v>0.04</v>
      </c>
    </row>
    <row r="52" spans="1:18">
      <c r="B52" s="19" t="s">
        <v>31</v>
      </c>
      <c r="C52" s="136">
        <f>C51</f>
        <v>4.8798339523705485E-2</v>
      </c>
      <c r="D52" s="136">
        <f t="shared" ref="D52:G52" si="32">D51</f>
        <v>4.0126146788990825E-2</v>
      </c>
      <c r="E52" s="136">
        <f t="shared" si="32"/>
        <v>3.7754903864828125E-2</v>
      </c>
      <c r="F52" s="136">
        <f t="shared" si="32"/>
        <v>4.3705857914416286E-2</v>
      </c>
      <c r="G52" s="136">
        <f t="shared" si="32"/>
        <v>4.2047653604257378E-2</v>
      </c>
      <c r="H52" s="39">
        <v>0.04</v>
      </c>
      <c r="I52" s="39">
        <v>0.04</v>
      </c>
      <c r="J52" s="39">
        <v>0.04</v>
      </c>
      <c r="K52" s="39">
        <v>0.04</v>
      </c>
      <c r="L52" s="39">
        <v>0.04</v>
      </c>
      <c r="M52" s="39">
        <v>0.04</v>
      </c>
      <c r="N52" s="39">
        <v>0.04</v>
      </c>
      <c r="O52" s="39">
        <v>0.04</v>
      </c>
      <c r="P52" s="39">
        <v>0.04</v>
      </c>
      <c r="Q52" s="39">
        <v>0.04</v>
      </c>
      <c r="R52" s="39">
        <v>0.04</v>
      </c>
    </row>
    <row r="53" spans="1:18">
      <c r="B53" s="20" t="str">
        <f>"Current Case - "&amp;CHOOSE($H$4,B50,B51,B52)</f>
        <v>Current Case - Base Case</v>
      </c>
      <c r="C53" s="21"/>
      <c r="D53" s="21"/>
      <c r="E53" s="21"/>
      <c r="F53" s="21"/>
      <c r="G53" s="21"/>
      <c r="H53" s="41">
        <f t="shared" ref="H53:M53" si="33">CHOOSE($H$4,H50,H51,H52)</f>
        <v>0.04</v>
      </c>
      <c r="I53" s="41">
        <f t="shared" si="33"/>
        <v>0.04</v>
      </c>
      <c r="J53" s="41">
        <f t="shared" si="33"/>
        <v>0.04</v>
      </c>
      <c r="K53" s="41">
        <f t="shared" si="33"/>
        <v>0.04</v>
      </c>
      <c r="L53" s="41">
        <f t="shared" si="33"/>
        <v>0.04</v>
      </c>
      <c r="M53" s="41">
        <f t="shared" si="33"/>
        <v>0.04</v>
      </c>
      <c r="N53" s="41">
        <f t="shared" ref="N53:R53" si="34">CHOOSE($H$4,N50,N51,N52)</f>
        <v>0.04</v>
      </c>
      <c r="O53" s="41">
        <f t="shared" si="34"/>
        <v>0.04</v>
      </c>
      <c r="P53" s="41">
        <f t="shared" si="34"/>
        <v>0.04</v>
      </c>
      <c r="Q53" s="41">
        <f t="shared" si="34"/>
        <v>0.04</v>
      </c>
      <c r="R53" s="41">
        <f t="shared" si="34"/>
        <v>0.04</v>
      </c>
    </row>
    <row r="54" spans="1:18">
      <c r="A54" s="40"/>
    </row>
    <row r="55" spans="1:18" ht="18">
      <c r="A55" t="s">
        <v>29</v>
      </c>
      <c r="B55" s="16" t="s">
        <v>573</v>
      </c>
      <c r="C55" s="14"/>
      <c r="D55" s="14"/>
      <c r="E55" s="14"/>
      <c r="F55" s="14"/>
      <c r="G55" s="14"/>
      <c r="H55" s="14"/>
      <c r="I55" s="14"/>
      <c r="J55" s="14"/>
      <c r="K55" s="14"/>
      <c r="L55" s="14"/>
      <c r="M55" s="14"/>
      <c r="N55" s="14"/>
      <c r="O55" s="14"/>
      <c r="P55" s="14"/>
      <c r="Q55" s="14"/>
      <c r="R55" s="14"/>
    </row>
    <row r="56" spans="1:18">
      <c r="A56" s="40"/>
    </row>
    <row r="57" spans="1:18">
      <c r="A57" s="40"/>
      <c r="B57" s="22" t="s">
        <v>574</v>
      </c>
    </row>
    <row r="58" spans="1:18">
      <c r="A58" s="40"/>
      <c r="B58" s="19" t="s">
        <v>30</v>
      </c>
      <c r="C58" s="292">
        <f>Assumptions!G644</f>
        <v>6.2923312213240115E-2</v>
      </c>
      <c r="D58" s="292">
        <f>Assumptions!H644</f>
        <v>5.5504587155963306E-2</v>
      </c>
      <c r="E58" s="292">
        <f>Assumptions!I644</f>
        <v>4.865022334433871E-2</v>
      </c>
      <c r="F58" s="292">
        <f>Assumptions!J644</f>
        <v>6.3010663343027282E-2</v>
      </c>
      <c r="G58" s="292">
        <f>Assumptions!K644</f>
        <v>9.2283502660861147E-2</v>
      </c>
      <c r="H58" s="39">
        <v>9.0550000000000005E-2</v>
      </c>
      <c r="I58" s="39">
        <v>0.06</v>
      </c>
      <c r="J58" s="39">
        <v>0.06</v>
      </c>
      <c r="K58" s="39">
        <v>0.06</v>
      </c>
      <c r="L58" s="39">
        <v>0.06</v>
      </c>
      <c r="M58" s="39">
        <v>0.06</v>
      </c>
      <c r="N58" s="39">
        <v>0.06</v>
      </c>
      <c r="O58" s="39">
        <v>0.06</v>
      </c>
      <c r="P58" s="39">
        <v>0.06</v>
      </c>
      <c r="Q58" s="39">
        <v>0.06</v>
      </c>
      <c r="R58" s="39">
        <v>0.06</v>
      </c>
    </row>
    <row r="59" spans="1:18">
      <c r="A59" s="40"/>
      <c r="B59" s="19" t="s">
        <v>366</v>
      </c>
      <c r="C59" s="136">
        <f>C58</f>
        <v>6.2923312213240115E-2</v>
      </c>
      <c r="D59" s="136">
        <f t="shared" ref="D59:G59" si="35">D58</f>
        <v>5.5504587155963306E-2</v>
      </c>
      <c r="E59" s="136">
        <f t="shared" si="35"/>
        <v>4.865022334433871E-2</v>
      </c>
      <c r="F59" s="136">
        <f t="shared" si="35"/>
        <v>6.3010663343027282E-2</v>
      </c>
      <c r="G59" s="136">
        <f t="shared" si="35"/>
        <v>9.2283502660861147E-2</v>
      </c>
      <c r="H59" s="39">
        <v>9.0550000000000005E-2</v>
      </c>
      <c r="I59" s="39">
        <v>0.06</v>
      </c>
      <c r="J59" s="39">
        <v>0.06</v>
      </c>
      <c r="K59" s="39">
        <v>0.06</v>
      </c>
      <c r="L59" s="39">
        <v>0.06</v>
      </c>
      <c r="M59" s="39">
        <v>0.06</v>
      </c>
      <c r="N59" s="39">
        <v>0.06</v>
      </c>
      <c r="O59" s="39">
        <v>0.06</v>
      </c>
      <c r="P59" s="39">
        <v>0.06</v>
      </c>
      <c r="Q59" s="39">
        <v>0.06</v>
      </c>
      <c r="R59" s="39">
        <v>0.06</v>
      </c>
    </row>
    <row r="60" spans="1:18">
      <c r="A60" s="40"/>
      <c r="B60" s="19" t="s">
        <v>31</v>
      </c>
      <c r="C60" s="136">
        <f>C59</f>
        <v>6.2923312213240115E-2</v>
      </c>
      <c r="D60" s="136">
        <f t="shared" ref="D60:G60" si="36">D59</f>
        <v>5.5504587155963306E-2</v>
      </c>
      <c r="E60" s="136">
        <f t="shared" si="36"/>
        <v>4.865022334433871E-2</v>
      </c>
      <c r="F60" s="136">
        <f t="shared" si="36"/>
        <v>6.3010663343027282E-2</v>
      </c>
      <c r="G60" s="136">
        <f t="shared" si="36"/>
        <v>9.2283502660861147E-2</v>
      </c>
      <c r="H60" s="39">
        <v>9.0550000000000005E-2</v>
      </c>
      <c r="I60" s="39">
        <v>0.06</v>
      </c>
      <c r="J60" s="39">
        <v>0.06</v>
      </c>
      <c r="K60" s="39">
        <v>0.06</v>
      </c>
      <c r="L60" s="39">
        <v>0.06</v>
      </c>
      <c r="M60" s="39">
        <v>0.06</v>
      </c>
      <c r="N60" s="39">
        <v>0.06</v>
      </c>
      <c r="O60" s="39">
        <v>0.06</v>
      </c>
      <c r="P60" s="39">
        <v>0.06</v>
      </c>
      <c r="Q60" s="39">
        <v>0.06</v>
      </c>
      <c r="R60" s="39">
        <v>0.06</v>
      </c>
    </row>
    <row r="61" spans="1:18">
      <c r="A61" s="40"/>
      <c r="B61" s="20" t="str">
        <f>"Current Case - "&amp;CHOOSE($H$4,B58,B59,B60)</f>
        <v>Current Case - Base Case</v>
      </c>
      <c r="C61" s="21"/>
      <c r="D61" s="21"/>
      <c r="E61" s="21"/>
      <c r="F61" s="21"/>
      <c r="G61" s="21"/>
      <c r="H61" s="41">
        <f t="shared" ref="H61:M61" si="37">CHOOSE($H$4,H58,H59,H60)</f>
        <v>9.0550000000000005E-2</v>
      </c>
      <c r="I61" s="41">
        <f t="shared" si="37"/>
        <v>0.06</v>
      </c>
      <c r="J61" s="41">
        <f t="shared" si="37"/>
        <v>0.06</v>
      </c>
      <c r="K61" s="41">
        <f t="shared" si="37"/>
        <v>0.06</v>
      </c>
      <c r="L61" s="41">
        <f t="shared" si="37"/>
        <v>0.06</v>
      </c>
      <c r="M61" s="41">
        <f t="shared" si="37"/>
        <v>0.06</v>
      </c>
      <c r="N61" s="41">
        <f t="shared" ref="N61:R61" si="38">CHOOSE($H$4,N58,N59,N60)</f>
        <v>0.06</v>
      </c>
      <c r="O61" s="41">
        <f t="shared" si="38"/>
        <v>0.06</v>
      </c>
      <c r="P61" s="41">
        <f t="shared" si="38"/>
        <v>0.06</v>
      </c>
      <c r="Q61" s="41">
        <f t="shared" si="38"/>
        <v>0.06</v>
      </c>
      <c r="R61" s="41">
        <f t="shared" si="38"/>
        <v>0.06</v>
      </c>
    </row>
    <row r="62" spans="1:18">
      <c r="A62" s="40"/>
    </row>
    <row r="63" spans="1:18" ht="18">
      <c r="A63" t="s">
        <v>29</v>
      </c>
      <c r="B63" s="16" t="s">
        <v>657</v>
      </c>
      <c r="C63" s="14"/>
      <c r="D63" s="14"/>
      <c r="E63" s="14"/>
      <c r="F63" s="14"/>
      <c r="G63" s="14"/>
      <c r="H63" s="14"/>
      <c r="I63" s="14"/>
      <c r="J63" s="14"/>
      <c r="K63" s="14"/>
      <c r="L63" s="14"/>
      <c r="M63" s="14"/>
      <c r="N63" s="14"/>
      <c r="O63" s="14"/>
      <c r="P63" s="14"/>
      <c r="Q63" s="14"/>
      <c r="R63" s="14"/>
    </row>
    <row r="65" spans="2:18">
      <c r="B65" s="22" t="s">
        <v>564</v>
      </c>
    </row>
    <row r="66" spans="2:18">
      <c r="B66" s="19" t="s">
        <v>30</v>
      </c>
      <c r="C66" s="292">
        <f>Assumptions!G557</f>
        <v>0.25934017915665281</v>
      </c>
      <c r="D66" s="292">
        <f>Assumptions!H557</f>
        <v>0.27901376146788992</v>
      </c>
      <c r="E66" s="292">
        <f>Assumptions!I557</f>
        <v>0.23538551174985434</v>
      </c>
      <c r="F66" s="292">
        <f>Assumptions!J557</f>
        <v>0.18626229054147625</v>
      </c>
      <c r="G66" s="292">
        <f>Assumptions!K557</f>
        <v>0.17622157716497339</v>
      </c>
      <c r="H66" s="292">
        <f>Assumptions!L557</f>
        <v>0.20428296646974106</v>
      </c>
      <c r="I66" s="292">
        <f>Assumptions!M557</f>
        <v>0.19601805475777206</v>
      </c>
      <c r="J66" s="292">
        <f>Assumptions!N557</f>
        <v>0.22677761660056744</v>
      </c>
      <c r="K66" s="292">
        <f>Assumptions!O557</f>
        <v>0.22059069538698231</v>
      </c>
      <c r="L66" s="292">
        <f>Assumptions!P557</f>
        <v>0.21650055750262137</v>
      </c>
      <c r="M66" s="292">
        <f>Assumptions!Q557</f>
        <v>0.21410555158464814</v>
      </c>
      <c r="N66" s="292">
        <f>Assumptions!R557</f>
        <v>0.21202458277756236</v>
      </c>
      <c r="O66" s="292">
        <f>Assumptions!S557</f>
        <v>0.21022287818268293</v>
      </c>
      <c r="P66" s="292">
        <f>Assumptions!T557</f>
        <v>0.20867117087608819</v>
      </c>
      <c r="Q66" s="292">
        <f>Assumptions!U557</f>
        <v>0.2072654141901244</v>
      </c>
      <c r="R66" s="292">
        <f>Assumptions!V557</f>
        <v>0.20599323619377705</v>
      </c>
    </row>
    <row r="67" spans="2:18">
      <c r="B67" s="19" t="s">
        <v>366</v>
      </c>
      <c r="C67" s="136">
        <f>C66</f>
        <v>0.25934017915665281</v>
      </c>
      <c r="D67" s="136">
        <f t="shared" ref="D67:H68" si="39">D66</f>
        <v>0.27901376146788992</v>
      </c>
      <c r="E67" s="136">
        <f t="shared" si="39"/>
        <v>0.23538551174985434</v>
      </c>
      <c r="F67" s="136">
        <f t="shared" si="39"/>
        <v>0.18626229054147625</v>
      </c>
      <c r="G67" s="136">
        <f t="shared" si="39"/>
        <v>0.17622157716497339</v>
      </c>
      <c r="H67" s="137">
        <f>H66</f>
        <v>0.20428296646974106</v>
      </c>
      <c r="I67" s="137">
        <f t="shared" ref="I67:I68" si="40">I66</f>
        <v>0.19601805475777206</v>
      </c>
      <c r="J67" s="137">
        <f t="shared" ref="J67:J68" si="41">J66</f>
        <v>0.22677761660056744</v>
      </c>
      <c r="K67" s="137">
        <f t="shared" ref="K67:K68" si="42">K66</f>
        <v>0.22059069538698231</v>
      </c>
      <c r="L67" s="137">
        <f t="shared" ref="L67:L68" si="43">L66</f>
        <v>0.21650055750262137</v>
      </c>
      <c r="M67" s="137">
        <f t="shared" ref="M67:R68" si="44">M66</f>
        <v>0.21410555158464814</v>
      </c>
      <c r="N67" s="137">
        <f t="shared" si="44"/>
        <v>0.21202458277756236</v>
      </c>
      <c r="O67" s="137">
        <f t="shared" si="44"/>
        <v>0.21022287818268293</v>
      </c>
      <c r="P67" s="137">
        <f t="shared" si="44"/>
        <v>0.20867117087608819</v>
      </c>
      <c r="Q67" s="137">
        <f t="shared" si="44"/>
        <v>0.2072654141901244</v>
      </c>
      <c r="R67" s="137">
        <f t="shared" si="44"/>
        <v>0.20599323619377705</v>
      </c>
    </row>
    <row r="68" spans="2:18">
      <c r="B68" s="19" t="s">
        <v>31</v>
      </c>
      <c r="C68" s="136">
        <f t="shared" ref="C68" si="45">C67</f>
        <v>0.25934017915665281</v>
      </c>
      <c r="D68" s="136">
        <f t="shared" si="39"/>
        <v>0.27901376146788992</v>
      </c>
      <c r="E68" s="136">
        <f t="shared" si="39"/>
        <v>0.23538551174985434</v>
      </c>
      <c r="F68" s="136">
        <f t="shared" si="39"/>
        <v>0.18626229054147625</v>
      </c>
      <c r="G68" s="136">
        <f t="shared" si="39"/>
        <v>0.17622157716497339</v>
      </c>
      <c r="H68" s="137">
        <f t="shared" si="39"/>
        <v>0.20428296646974106</v>
      </c>
      <c r="I68" s="137">
        <f t="shared" si="40"/>
        <v>0.19601805475777206</v>
      </c>
      <c r="J68" s="137">
        <f t="shared" si="41"/>
        <v>0.22677761660056744</v>
      </c>
      <c r="K68" s="137">
        <f t="shared" si="42"/>
        <v>0.22059069538698231</v>
      </c>
      <c r="L68" s="137">
        <f t="shared" si="43"/>
        <v>0.21650055750262137</v>
      </c>
      <c r="M68" s="137">
        <f t="shared" si="44"/>
        <v>0.21410555158464814</v>
      </c>
      <c r="N68" s="137">
        <f t="shared" si="44"/>
        <v>0.21202458277756236</v>
      </c>
      <c r="O68" s="137">
        <f t="shared" si="44"/>
        <v>0.21022287818268293</v>
      </c>
      <c r="P68" s="137">
        <f t="shared" si="44"/>
        <v>0.20867117087608819</v>
      </c>
      <c r="Q68" s="137">
        <f t="shared" si="44"/>
        <v>0.2072654141901244</v>
      </c>
      <c r="R68" s="137">
        <f t="shared" si="44"/>
        <v>0.20599323619377705</v>
      </c>
    </row>
    <row r="69" spans="2:18">
      <c r="B69" s="20" t="str">
        <f>"Current Case - "&amp;CHOOSE($H$4,B66,B67,B68)</f>
        <v>Current Case - Base Case</v>
      </c>
      <c r="C69" s="20"/>
      <c r="D69" s="20"/>
      <c r="E69" s="20"/>
      <c r="F69" s="20"/>
      <c r="G69" s="20"/>
      <c r="H69" s="41">
        <f t="shared" ref="H69:M69" si="46">CHOOSE($H$4,H66,H67,H68)</f>
        <v>0.20428296646974106</v>
      </c>
      <c r="I69" s="41">
        <f t="shared" si="46"/>
        <v>0.19601805475777206</v>
      </c>
      <c r="J69" s="41">
        <f t="shared" si="46"/>
        <v>0.22677761660056744</v>
      </c>
      <c r="K69" s="41">
        <f t="shared" si="46"/>
        <v>0.22059069538698231</v>
      </c>
      <c r="L69" s="41">
        <f t="shared" si="46"/>
        <v>0.21650055750262137</v>
      </c>
      <c r="M69" s="41">
        <f t="shared" si="46"/>
        <v>0.21410555158464814</v>
      </c>
      <c r="N69" s="41">
        <f t="shared" ref="N69:R69" si="47">CHOOSE($H$4,N66,N67,N68)</f>
        <v>0.21202458277756236</v>
      </c>
      <c r="O69" s="41">
        <f t="shared" si="47"/>
        <v>0.21022287818268293</v>
      </c>
      <c r="P69" s="41">
        <f t="shared" si="47"/>
        <v>0.20867117087608819</v>
      </c>
      <c r="Q69" s="41">
        <f t="shared" si="47"/>
        <v>0.2072654141901244</v>
      </c>
      <c r="R69" s="41">
        <f t="shared" si="47"/>
        <v>0.20599323619377705</v>
      </c>
    </row>
    <row r="71" spans="2:18">
      <c r="B71" s="22" t="s">
        <v>546</v>
      </c>
    </row>
    <row r="72" spans="2:18">
      <c r="B72" s="19" t="s">
        <v>30</v>
      </c>
      <c r="C72" s="292">
        <f>Assumptions!G606</f>
        <v>1.1373209772535805E-2</v>
      </c>
      <c r="D72" s="292">
        <f>Assumptions!H606</f>
        <v>2.6304973284011508E-2</v>
      </c>
      <c r="E72" s="292">
        <f>Assumptions!I606</f>
        <v>5.5280528052805283E-2</v>
      </c>
      <c r="F72" s="292">
        <f>Assumptions!J606</f>
        <v>2.8996282527881039E-2</v>
      </c>
      <c r="G72" s="292">
        <f>Assumptions!K606</f>
        <v>7.2752230610844196E-2</v>
      </c>
      <c r="H72" s="292">
        <f>Assumptions!L606</f>
        <v>2.8534370946822308E-2</v>
      </c>
      <c r="I72" s="292">
        <f>Assumptions!M606</f>
        <v>0</v>
      </c>
      <c r="J72" s="292">
        <f>Assumptions!N606</f>
        <v>0</v>
      </c>
      <c r="K72" s="292">
        <f>Assumptions!O606</f>
        <v>0</v>
      </c>
      <c r="L72" s="292">
        <f>Assumptions!P606</f>
        <v>0</v>
      </c>
      <c r="M72" s="292">
        <f>Assumptions!Q606</f>
        <v>0</v>
      </c>
      <c r="N72" s="292">
        <f>Assumptions!R606</f>
        <v>0</v>
      </c>
      <c r="O72" s="292">
        <f>Assumptions!S606</f>
        <v>0</v>
      </c>
      <c r="P72" s="292">
        <f>Assumptions!T606</f>
        <v>0</v>
      </c>
      <c r="Q72" s="292">
        <f>Assumptions!U606</f>
        <v>0</v>
      </c>
      <c r="R72" s="292">
        <f>Assumptions!V606</f>
        <v>0</v>
      </c>
    </row>
    <row r="73" spans="2:18">
      <c r="B73" s="19" t="s">
        <v>366</v>
      </c>
      <c r="C73" s="136">
        <f>C72</f>
        <v>1.1373209772535805E-2</v>
      </c>
      <c r="D73" s="136">
        <f t="shared" ref="D73:G73" si="48">D72</f>
        <v>2.6304973284011508E-2</v>
      </c>
      <c r="E73" s="136">
        <f t="shared" si="48"/>
        <v>5.5280528052805283E-2</v>
      </c>
      <c r="F73" s="136">
        <f t="shared" si="48"/>
        <v>2.8996282527881039E-2</v>
      </c>
      <c r="G73" s="136">
        <f t="shared" si="48"/>
        <v>7.2752230610844196E-2</v>
      </c>
      <c r="H73" s="136">
        <f>H72</f>
        <v>2.8534370946822308E-2</v>
      </c>
      <c r="I73" s="136">
        <f t="shared" ref="I73:I74" si="49">I72</f>
        <v>0</v>
      </c>
      <c r="J73" s="136">
        <f t="shared" ref="J73:J74" si="50">J72</f>
        <v>0</v>
      </c>
      <c r="K73" s="136">
        <f t="shared" ref="K73:K74" si="51">K72</f>
        <v>0</v>
      </c>
      <c r="L73" s="136">
        <f t="shared" ref="L73:L74" si="52">L72</f>
        <v>0</v>
      </c>
      <c r="M73" s="136">
        <f t="shared" ref="M73:R74" si="53">M72</f>
        <v>0</v>
      </c>
      <c r="N73" s="136">
        <f t="shared" si="53"/>
        <v>0</v>
      </c>
      <c r="O73" s="136">
        <f t="shared" si="53"/>
        <v>0</v>
      </c>
      <c r="P73" s="136">
        <f t="shared" si="53"/>
        <v>0</v>
      </c>
      <c r="Q73" s="136">
        <f t="shared" si="53"/>
        <v>0</v>
      </c>
      <c r="R73" s="136">
        <f t="shared" si="53"/>
        <v>0</v>
      </c>
    </row>
    <row r="74" spans="2:18">
      <c r="B74" s="19" t="s">
        <v>31</v>
      </c>
      <c r="C74" s="136">
        <f t="shared" ref="C74:H74" si="54">C73</f>
        <v>1.1373209772535805E-2</v>
      </c>
      <c r="D74" s="136">
        <f t="shared" si="54"/>
        <v>2.6304973284011508E-2</v>
      </c>
      <c r="E74" s="136">
        <f t="shared" si="54"/>
        <v>5.5280528052805283E-2</v>
      </c>
      <c r="F74" s="136">
        <f t="shared" si="54"/>
        <v>2.8996282527881039E-2</v>
      </c>
      <c r="G74" s="136">
        <f t="shared" si="54"/>
        <v>7.2752230610844196E-2</v>
      </c>
      <c r="H74" s="136">
        <f t="shared" si="54"/>
        <v>2.8534370946822308E-2</v>
      </c>
      <c r="I74" s="136">
        <f t="shared" si="49"/>
        <v>0</v>
      </c>
      <c r="J74" s="136">
        <f t="shared" si="50"/>
        <v>0</v>
      </c>
      <c r="K74" s="136">
        <f t="shared" si="51"/>
        <v>0</v>
      </c>
      <c r="L74" s="136">
        <f t="shared" si="52"/>
        <v>0</v>
      </c>
      <c r="M74" s="136">
        <f t="shared" si="53"/>
        <v>0</v>
      </c>
      <c r="N74" s="136">
        <f t="shared" si="53"/>
        <v>0</v>
      </c>
      <c r="O74" s="136">
        <f t="shared" si="53"/>
        <v>0</v>
      </c>
      <c r="P74" s="136">
        <f t="shared" si="53"/>
        <v>0</v>
      </c>
      <c r="Q74" s="136">
        <f t="shared" si="53"/>
        <v>0</v>
      </c>
      <c r="R74" s="136">
        <f t="shared" si="53"/>
        <v>0</v>
      </c>
    </row>
    <row r="75" spans="2:18">
      <c r="B75" s="20" t="str">
        <f>"Current Case - "&amp;CHOOSE($H$4,B72,B73,B74)</f>
        <v>Current Case - Base Case</v>
      </c>
      <c r="C75" s="20"/>
      <c r="D75" s="20"/>
      <c r="E75" s="20"/>
      <c r="F75" s="20"/>
      <c r="G75" s="20"/>
      <c r="H75" s="41">
        <f t="shared" ref="H75:M75" si="55">CHOOSE($H$4,H72,H73,H74)</f>
        <v>2.8534370946822308E-2</v>
      </c>
      <c r="I75" s="41">
        <f t="shared" si="55"/>
        <v>0</v>
      </c>
      <c r="J75" s="41">
        <f t="shared" si="55"/>
        <v>0</v>
      </c>
      <c r="K75" s="41">
        <f t="shared" si="55"/>
        <v>0</v>
      </c>
      <c r="L75" s="41">
        <f t="shared" si="55"/>
        <v>0</v>
      </c>
      <c r="M75" s="41">
        <f t="shared" si="55"/>
        <v>0</v>
      </c>
      <c r="N75" s="41">
        <f t="shared" ref="N75:R75" si="56">CHOOSE($H$4,N72,N73,N74)</f>
        <v>0</v>
      </c>
      <c r="O75" s="41">
        <f t="shared" si="56"/>
        <v>0</v>
      </c>
      <c r="P75" s="41">
        <f t="shared" si="56"/>
        <v>0</v>
      </c>
      <c r="Q75" s="41">
        <f t="shared" si="56"/>
        <v>0</v>
      </c>
      <c r="R75" s="41">
        <f t="shared" si="56"/>
        <v>0</v>
      </c>
    </row>
    <row r="77" spans="2:18">
      <c r="B77" s="22" t="s">
        <v>535</v>
      </c>
    </row>
    <row r="78" spans="2:18">
      <c r="B78" s="19" t="s">
        <v>30</v>
      </c>
      <c r="C78" s="292">
        <f>Assumptions!G586</f>
        <v>3.163644308499021E-2</v>
      </c>
      <c r="D78" s="292">
        <f>Assumptions!H586</f>
        <v>3.1651376146788993E-2</v>
      </c>
      <c r="E78" s="292">
        <f>Assumptions!I586</f>
        <v>4.4367838415226221E-2</v>
      </c>
      <c r="F78" s="292">
        <f>Assumptions!J586</f>
        <v>3.0619027835479901E-2</v>
      </c>
      <c r="G78" s="292">
        <f>Assumptions!K586</f>
        <v>0.13575229801644892</v>
      </c>
      <c r="H78" s="39">
        <v>3.2000000000000001E-2</v>
      </c>
      <c r="I78" s="39">
        <v>3.2000000000000001E-2</v>
      </c>
      <c r="J78" s="39">
        <v>3.2000000000000001E-2</v>
      </c>
      <c r="K78" s="39">
        <v>3.2000000000000001E-2</v>
      </c>
      <c r="L78" s="39">
        <v>3.2000000000000001E-2</v>
      </c>
      <c r="M78" s="39">
        <v>3.2000000000000001E-2</v>
      </c>
      <c r="N78" s="39">
        <v>3.2000000000000001E-2</v>
      </c>
      <c r="O78" s="39">
        <v>3.2000000000000001E-2</v>
      </c>
      <c r="P78" s="39">
        <v>3.2000000000000001E-2</v>
      </c>
      <c r="Q78" s="39">
        <v>3.2000000000000001E-2</v>
      </c>
      <c r="R78" s="39">
        <v>3.2000000000000001E-2</v>
      </c>
    </row>
    <row r="79" spans="2:18">
      <c r="B79" s="19" t="s">
        <v>366</v>
      </c>
      <c r="C79" s="136">
        <f>C78</f>
        <v>3.163644308499021E-2</v>
      </c>
      <c r="D79" s="136">
        <f t="shared" ref="D79:D80" si="57">D78</f>
        <v>3.1651376146788993E-2</v>
      </c>
      <c r="E79" s="136">
        <f t="shared" ref="E79:E80" si="58">E78</f>
        <v>4.4367838415226221E-2</v>
      </c>
      <c r="F79" s="136">
        <f t="shared" ref="F79:F80" si="59">F78</f>
        <v>3.0619027835479901E-2</v>
      </c>
      <c r="G79" s="136">
        <f t="shared" ref="G79:G80" si="60">G78</f>
        <v>0.13575229801644892</v>
      </c>
      <c r="H79" s="39">
        <v>3.2000000000000001E-2</v>
      </c>
      <c r="I79" s="39">
        <v>3.2000000000000001E-2</v>
      </c>
      <c r="J79" s="39">
        <v>3.2000000000000001E-2</v>
      </c>
      <c r="K79" s="39">
        <v>3.2000000000000001E-2</v>
      </c>
      <c r="L79" s="39">
        <v>3.2000000000000001E-2</v>
      </c>
      <c r="M79" s="39">
        <v>3.2000000000000001E-2</v>
      </c>
      <c r="N79" s="39">
        <v>3.2000000000000001E-2</v>
      </c>
      <c r="O79" s="39">
        <v>3.2000000000000001E-2</v>
      </c>
      <c r="P79" s="39">
        <v>3.2000000000000001E-2</v>
      </c>
      <c r="Q79" s="39">
        <v>3.2000000000000001E-2</v>
      </c>
      <c r="R79" s="39">
        <v>3.2000000000000001E-2</v>
      </c>
    </row>
    <row r="80" spans="2:18">
      <c r="B80" s="19" t="s">
        <v>31</v>
      </c>
      <c r="C80" s="136">
        <f t="shared" ref="C80" si="61">C79</f>
        <v>3.163644308499021E-2</v>
      </c>
      <c r="D80" s="136">
        <f t="shared" si="57"/>
        <v>3.1651376146788993E-2</v>
      </c>
      <c r="E80" s="136">
        <f t="shared" si="58"/>
        <v>4.4367838415226221E-2</v>
      </c>
      <c r="F80" s="136">
        <f t="shared" si="59"/>
        <v>3.0619027835479901E-2</v>
      </c>
      <c r="G80" s="136">
        <f t="shared" si="60"/>
        <v>0.13575229801644892</v>
      </c>
      <c r="H80" s="39">
        <v>3.2000000000000001E-2</v>
      </c>
      <c r="I80" s="39">
        <v>3.2000000000000001E-2</v>
      </c>
      <c r="J80" s="39">
        <v>3.2000000000000001E-2</v>
      </c>
      <c r="K80" s="39">
        <v>3.2000000000000001E-2</v>
      </c>
      <c r="L80" s="39">
        <v>3.2000000000000001E-2</v>
      </c>
      <c r="M80" s="39">
        <v>3.2000000000000001E-2</v>
      </c>
      <c r="N80" s="39">
        <v>3.2000000000000001E-2</v>
      </c>
      <c r="O80" s="39">
        <v>3.2000000000000001E-2</v>
      </c>
      <c r="P80" s="39">
        <v>3.2000000000000001E-2</v>
      </c>
      <c r="Q80" s="39">
        <v>3.2000000000000001E-2</v>
      </c>
      <c r="R80" s="39">
        <v>3.2000000000000001E-2</v>
      </c>
    </row>
    <row r="81" spans="1:18">
      <c r="B81" s="20" t="str">
        <f>"Current Case - "&amp;CHOOSE($H$4,B78,B79,B80)</f>
        <v>Current Case - Base Case</v>
      </c>
      <c r="C81" s="21"/>
      <c r="D81" s="21"/>
      <c r="E81" s="21"/>
      <c r="F81" s="21"/>
      <c r="G81" s="21"/>
      <c r="H81" s="41">
        <f t="shared" ref="H81:M81" si="62">CHOOSE($H$4,H78,H79,H80)</f>
        <v>3.2000000000000001E-2</v>
      </c>
      <c r="I81" s="41">
        <f t="shared" si="62"/>
        <v>3.2000000000000001E-2</v>
      </c>
      <c r="J81" s="41">
        <f t="shared" si="62"/>
        <v>3.2000000000000001E-2</v>
      </c>
      <c r="K81" s="41">
        <f t="shared" si="62"/>
        <v>3.2000000000000001E-2</v>
      </c>
      <c r="L81" s="41">
        <f t="shared" si="62"/>
        <v>3.2000000000000001E-2</v>
      </c>
      <c r="M81" s="41">
        <f t="shared" si="62"/>
        <v>3.2000000000000001E-2</v>
      </c>
      <c r="N81" s="41">
        <f t="shared" ref="N81:R81" si="63">CHOOSE($H$4,N78,N79,N80)</f>
        <v>3.2000000000000001E-2</v>
      </c>
      <c r="O81" s="41">
        <f t="shared" si="63"/>
        <v>3.2000000000000001E-2</v>
      </c>
      <c r="P81" s="41">
        <f t="shared" si="63"/>
        <v>3.2000000000000001E-2</v>
      </c>
      <c r="Q81" s="41">
        <f t="shared" si="63"/>
        <v>3.2000000000000001E-2</v>
      </c>
      <c r="R81" s="41">
        <f t="shared" si="63"/>
        <v>3.2000000000000001E-2</v>
      </c>
    </row>
    <row r="83" spans="1:18">
      <c r="B83" s="22" t="s">
        <v>538</v>
      </c>
    </row>
    <row r="84" spans="1:18">
      <c r="B84" s="19" t="s">
        <v>30</v>
      </c>
      <c r="C84" s="292">
        <f ca="1">Assumptions!G592</f>
        <v>0.35350666375355039</v>
      </c>
      <c r="D84" s="292">
        <f ca="1">Assumptions!H592</f>
        <v>0.32408256880733943</v>
      </c>
      <c r="E84" s="292">
        <f ca="1">Assumptions!I592</f>
        <v>0.70848708487084866</v>
      </c>
      <c r="F84" s="292">
        <f ca="1">Assumptions!J592</f>
        <v>0.83790333748788259</v>
      </c>
      <c r="G84" s="292">
        <f ca="1">Assumptions!K592</f>
        <v>0.8070875665215288</v>
      </c>
      <c r="H84" s="39">
        <v>0.55200000000000005</v>
      </c>
      <c r="I84" s="39">
        <v>0.55200000000000005</v>
      </c>
      <c r="J84" s="39">
        <v>0.55200000000000005</v>
      </c>
      <c r="K84" s="39">
        <v>0.55200000000000005</v>
      </c>
      <c r="L84" s="39">
        <v>0.55200000000000005</v>
      </c>
      <c r="M84" s="39">
        <v>0.55200000000000005</v>
      </c>
      <c r="N84" s="39">
        <v>0.55200000000000005</v>
      </c>
      <c r="O84" s="39">
        <v>0.55200000000000005</v>
      </c>
      <c r="P84" s="39">
        <v>0.55200000000000005</v>
      </c>
      <c r="Q84" s="39">
        <v>0.55200000000000005</v>
      </c>
      <c r="R84" s="39">
        <v>0.55200000000000005</v>
      </c>
    </row>
    <row r="85" spans="1:18">
      <c r="B85" s="19" t="s">
        <v>366</v>
      </c>
      <c r="C85" s="136">
        <f ca="1">C84</f>
        <v>0.35350666375355039</v>
      </c>
      <c r="D85" s="136">
        <f t="shared" ref="D85:D86" ca="1" si="64">D84</f>
        <v>0.32408256880733943</v>
      </c>
      <c r="E85" s="136">
        <f t="shared" ref="E85:E86" ca="1" si="65">E84</f>
        <v>0.70848708487084866</v>
      </c>
      <c r="F85" s="136">
        <f t="shared" ref="F85:F86" ca="1" si="66">F84</f>
        <v>0.83790333748788259</v>
      </c>
      <c r="G85" s="136">
        <f t="shared" ref="G85:G86" ca="1" si="67">G84</f>
        <v>0.8070875665215288</v>
      </c>
      <c r="H85" s="39">
        <v>0.55200000000000005</v>
      </c>
      <c r="I85" s="39">
        <v>0.55200000000000005</v>
      </c>
      <c r="J85" s="39">
        <v>0.55200000000000005</v>
      </c>
      <c r="K85" s="39">
        <v>0.55200000000000005</v>
      </c>
      <c r="L85" s="39">
        <v>0.55200000000000005</v>
      </c>
      <c r="M85" s="39">
        <v>0.55200000000000005</v>
      </c>
      <c r="N85" s="39">
        <v>0.55200000000000005</v>
      </c>
      <c r="O85" s="39">
        <v>0.55200000000000005</v>
      </c>
      <c r="P85" s="39">
        <v>0.55200000000000005</v>
      </c>
      <c r="Q85" s="39">
        <v>0.55200000000000005</v>
      </c>
      <c r="R85" s="39">
        <v>0.55200000000000005</v>
      </c>
    </row>
    <row r="86" spans="1:18">
      <c r="B86" s="19" t="s">
        <v>31</v>
      </c>
      <c r="C86" s="136">
        <f t="shared" ref="C86" ca="1" si="68">C85</f>
        <v>0.35350666375355039</v>
      </c>
      <c r="D86" s="136">
        <f t="shared" ca="1" si="64"/>
        <v>0.32408256880733943</v>
      </c>
      <c r="E86" s="136">
        <f t="shared" ca="1" si="65"/>
        <v>0.70848708487084866</v>
      </c>
      <c r="F86" s="136">
        <f t="shared" ca="1" si="66"/>
        <v>0.83790333748788259</v>
      </c>
      <c r="G86" s="136">
        <f t="shared" ca="1" si="67"/>
        <v>0.8070875665215288</v>
      </c>
      <c r="H86" s="39">
        <v>0.55200000000000005</v>
      </c>
      <c r="I86" s="39">
        <v>0.55200000000000005</v>
      </c>
      <c r="J86" s="39">
        <v>0.55200000000000005</v>
      </c>
      <c r="K86" s="39">
        <v>0.55200000000000005</v>
      </c>
      <c r="L86" s="39">
        <v>0.55200000000000005</v>
      </c>
      <c r="M86" s="39">
        <v>0.55200000000000005</v>
      </c>
      <c r="N86" s="39">
        <v>0.55200000000000005</v>
      </c>
      <c r="O86" s="39">
        <v>0.55200000000000005</v>
      </c>
      <c r="P86" s="39">
        <v>0.55200000000000005</v>
      </c>
      <c r="Q86" s="39">
        <v>0.55200000000000005</v>
      </c>
      <c r="R86" s="39">
        <v>0.55200000000000005</v>
      </c>
    </row>
    <row r="87" spans="1:18">
      <c r="B87" s="20" t="str">
        <f>"Current Case - "&amp;CHOOSE($H$4,B84,B85,B86)</f>
        <v>Current Case - Base Case</v>
      </c>
      <c r="C87" s="21"/>
      <c r="D87" s="21"/>
      <c r="E87" s="21"/>
      <c r="F87" s="21"/>
      <c r="G87" s="21"/>
      <c r="H87" s="41">
        <f t="shared" ref="H87:M87" si="69">CHOOSE($H$4,H84,H85,H86)</f>
        <v>0.55200000000000005</v>
      </c>
      <c r="I87" s="41">
        <f t="shared" si="69"/>
        <v>0.55200000000000005</v>
      </c>
      <c r="J87" s="41">
        <f t="shared" si="69"/>
        <v>0.55200000000000005</v>
      </c>
      <c r="K87" s="41">
        <f t="shared" si="69"/>
        <v>0.55200000000000005</v>
      </c>
      <c r="L87" s="41">
        <f t="shared" si="69"/>
        <v>0.55200000000000005</v>
      </c>
      <c r="M87" s="41">
        <f t="shared" si="69"/>
        <v>0.55200000000000005</v>
      </c>
      <c r="N87" s="41">
        <f t="shared" ref="N87:R87" si="70">CHOOSE($H$4,N84,N85,N86)</f>
        <v>0.55200000000000005</v>
      </c>
      <c r="O87" s="41">
        <f t="shared" si="70"/>
        <v>0.55200000000000005</v>
      </c>
      <c r="P87" s="41">
        <f t="shared" si="70"/>
        <v>0.55200000000000005</v>
      </c>
      <c r="Q87" s="41">
        <f t="shared" si="70"/>
        <v>0.55200000000000005</v>
      </c>
      <c r="R87" s="41">
        <f t="shared" si="70"/>
        <v>0.55200000000000005</v>
      </c>
    </row>
    <row r="89" spans="1:18">
      <c r="B89" s="22" t="s">
        <v>542</v>
      </c>
    </row>
    <row r="90" spans="1:18">
      <c r="B90" s="19" t="s">
        <v>30</v>
      </c>
      <c r="C90" s="292">
        <f>Assumptions!G598</f>
        <v>1.6167795499235308E-2</v>
      </c>
      <c r="D90" s="292">
        <f>Assumptions!H598</f>
        <v>1.743119266055046E-2</v>
      </c>
      <c r="E90" s="292">
        <f>Assumptions!I598</f>
        <v>2.0392309186249756E-2</v>
      </c>
      <c r="F90" s="292">
        <f>Assumptions!J598</f>
        <v>1.4125467386788533E-2</v>
      </c>
      <c r="G90" s="292">
        <f>Assumptions!K598</f>
        <v>1.4937106918238994E-2</v>
      </c>
      <c r="H90" s="39">
        <v>1.6E-2</v>
      </c>
      <c r="I90" s="39">
        <v>1.6E-2</v>
      </c>
      <c r="J90" s="39">
        <v>1.6E-2</v>
      </c>
      <c r="K90" s="39">
        <v>1.6E-2</v>
      </c>
      <c r="L90" s="39">
        <v>1.6E-2</v>
      </c>
      <c r="M90" s="39">
        <v>1.6E-2</v>
      </c>
      <c r="N90" s="39">
        <v>1.6E-2</v>
      </c>
      <c r="O90" s="39">
        <v>1.6E-2</v>
      </c>
      <c r="P90" s="39">
        <v>1.6E-2</v>
      </c>
      <c r="Q90" s="39">
        <v>1.6E-2</v>
      </c>
      <c r="R90" s="39">
        <v>1.6E-2</v>
      </c>
    </row>
    <row r="91" spans="1:18">
      <c r="B91" s="19" t="s">
        <v>366</v>
      </c>
      <c r="C91" s="136">
        <f>C90</f>
        <v>1.6167795499235308E-2</v>
      </c>
      <c r="D91" s="136">
        <f t="shared" ref="D91:D92" si="71">D90</f>
        <v>1.743119266055046E-2</v>
      </c>
      <c r="E91" s="136">
        <f t="shared" ref="E91:E92" si="72">E90</f>
        <v>2.0392309186249756E-2</v>
      </c>
      <c r="F91" s="136">
        <f t="shared" ref="F91:F92" si="73">F90</f>
        <v>1.4125467386788533E-2</v>
      </c>
      <c r="G91" s="136">
        <f t="shared" ref="G91:G92" si="74">G90</f>
        <v>1.4937106918238994E-2</v>
      </c>
      <c r="H91" s="39">
        <v>1.6E-2</v>
      </c>
      <c r="I91" s="39">
        <v>1.6E-2</v>
      </c>
      <c r="J91" s="39">
        <v>1.6E-2</v>
      </c>
      <c r="K91" s="39">
        <v>1.6E-2</v>
      </c>
      <c r="L91" s="39">
        <v>1.6E-2</v>
      </c>
      <c r="M91" s="39">
        <v>1.6E-2</v>
      </c>
      <c r="N91" s="39">
        <v>1.6E-2</v>
      </c>
      <c r="O91" s="39">
        <v>1.6E-2</v>
      </c>
      <c r="P91" s="39">
        <v>1.6E-2</v>
      </c>
      <c r="Q91" s="39">
        <v>1.6E-2</v>
      </c>
      <c r="R91" s="39">
        <v>1.6E-2</v>
      </c>
    </row>
    <row r="92" spans="1:18">
      <c r="B92" s="19" t="s">
        <v>31</v>
      </c>
      <c r="C92" s="136">
        <f t="shared" ref="C92" si="75">C91</f>
        <v>1.6167795499235308E-2</v>
      </c>
      <c r="D92" s="136">
        <f t="shared" si="71"/>
        <v>1.743119266055046E-2</v>
      </c>
      <c r="E92" s="136">
        <f t="shared" si="72"/>
        <v>2.0392309186249756E-2</v>
      </c>
      <c r="F92" s="136">
        <f t="shared" si="73"/>
        <v>1.4125467386788533E-2</v>
      </c>
      <c r="G92" s="136">
        <f t="shared" si="74"/>
        <v>1.4937106918238994E-2</v>
      </c>
      <c r="H92" s="39">
        <v>1.6E-2</v>
      </c>
      <c r="I92" s="39">
        <v>1.6E-2</v>
      </c>
      <c r="J92" s="39">
        <v>1.6E-2</v>
      </c>
      <c r="K92" s="39">
        <v>1.6E-2</v>
      </c>
      <c r="L92" s="39">
        <v>1.6E-2</v>
      </c>
      <c r="M92" s="39">
        <v>1.6E-2</v>
      </c>
      <c r="N92" s="39">
        <v>1.6E-2</v>
      </c>
      <c r="O92" s="39">
        <v>1.6E-2</v>
      </c>
      <c r="P92" s="39">
        <v>1.6E-2</v>
      </c>
      <c r="Q92" s="39">
        <v>1.6E-2</v>
      </c>
      <c r="R92" s="39">
        <v>1.6E-2</v>
      </c>
    </row>
    <row r="93" spans="1:18">
      <c r="B93" s="20" t="str">
        <f>"Current Case - "&amp;CHOOSE($H$4,B90,B91,B92)</f>
        <v>Current Case - Base Case</v>
      </c>
      <c r="C93" s="21"/>
      <c r="D93" s="21"/>
      <c r="E93" s="21"/>
      <c r="F93" s="21"/>
      <c r="G93" s="21"/>
      <c r="H93" s="41">
        <f t="shared" ref="H93:M93" si="76">CHOOSE($H$4,H90,H91,H92)</f>
        <v>1.6E-2</v>
      </c>
      <c r="I93" s="41">
        <f t="shared" si="76"/>
        <v>1.6E-2</v>
      </c>
      <c r="J93" s="41">
        <f t="shared" si="76"/>
        <v>1.6E-2</v>
      </c>
      <c r="K93" s="41">
        <f t="shared" si="76"/>
        <v>1.6E-2</v>
      </c>
      <c r="L93" s="41">
        <f t="shared" si="76"/>
        <v>1.6E-2</v>
      </c>
      <c r="M93" s="41">
        <f t="shared" si="76"/>
        <v>1.6E-2</v>
      </c>
      <c r="N93" s="41">
        <f t="shared" ref="N93:R93" si="77">CHOOSE($H$4,N90,N91,N92)</f>
        <v>1.6E-2</v>
      </c>
      <c r="O93" s="41">
        <f t="shared" si="77"/>
        <v>1.6E-2</v>
      </c>
      <c r="P93" s="41">
        <f t="shared" si="77"/>
        <v>1.6E-2</v>
      </c>
      <c r="Q93" s="41">
        <f t="shared" si="77"/>
        <v>1.6E-2</v>
      </c>
      <c r="R93" s="41">
        <f t="shared" si="77"/>
        <v>1.6E-2</v>
      </c>
    </row>
    <row r="95" spans="1:18" ht="18">
      <c r="A95" t="s">
        <v>29</v>
      </c>
      <c r="B95" s="16" t="s">
        <v>658</v>
      </c>
      <c r="C95" s="14"/>
      <c r="D95" s="14"/>
      <c r="E95" s="14"/>
      <c r="F95" s="14"/>
      <c r="G95" s="14"/>
      <c r="H95" s="14"/>
      <c r="I95" s="14"/>
      <c r="J95" s="14"/>
      <c r="K95" s="14"/>
      <c r="L95" s="14"/>
      <c r="M95" s="14"/>
      <c r="N95" s="14"/>
      <c r="O95" s="14"/>
      <c r="P95" s="14"/>
      <c r="Q95" s="14"/>
      <c r="R95" s="14"/>
    </row>
    <row r="97" spans="1:18">
      <c r="B97" s="22" t="s">
        <v>38</v>
      </c>
    </row>
    <row r="98" spans="1:18">
      <c r="B98" s="19" t="s">
        <v>30</v>
      </c>
      <c r="C98" s="18"/>
      <c r="D98" s="18"/>
      <c r="E98" s="18"/>
      <c r="F98" s="18"/>
      <c r="G98" s="18"/>
      <c r="H98" s="39">
        <v>0.20419435116399734</v>
      </c>
      <c r="I98" s="39">
        <v>0.25</v>
      </c>
      <c r="J98" s="39">
        <v>0.25</v>
      </c>
      <c r="K98" s="39">
        <v>0.25</v>
      </c>
      <c r="L98" s="39">
        <v>0.25</v>
      </c>
      <c r="M98" s="39">
        <v>0.25</v>
      </c>
      <c r="N98" s="39">
        <v>0.25</v>
      </c>
      <c r="O98" s="39">
        <v>0.25</v>
      </c>
      <c r="P98" s="39">
        <v>0.25</v>
      </c>
      <c r="Q98" s="39">
        <v>0.25</v>
      </c>
      <c r="R98" s="39">
        <v>0.25</v>
      </c>
    </row>
    <row r="99" spans="1:18">
      <c r="B99" s="19" t="s">
        <v>34</v>
      </c>
      <c r="C99" s="18"/>
      <c r="D99" s="18"/>
      <c r="E99" s="18"/>
      <c r="F99" s="18"/>
      <c r="G99" s="18"/>
      <c r="H99" s="39">
        <v>0.20419435116399734</v>
      </c>
      <c r="I99" s="39">
        <v>0.25</v>
      </c>
      <c r="J99" s="39">
        <v>0.25</v>
      </c>
      <c r="K99" s="39">
        <v>0.25</v>
      </c>
      <c r="L99" s="39">
        <v>0.25</v>
      </c>
      <c r="M99" s="39">
        <v>0.25</v>
      </c>
      <c r="N99" s="39">
        <v>0.25</v>
      </c>
      <c r="O99" s="39">
        <v>0.25</v>
      </c>
      <c r="P99" s="39">
        <v>0.25</v>
      </c>
      <c r="Q99" s="39">
        <v>0.25</v>
      </c>
      <c r="R99" s="39">
        <v>0.25</v>
      </c>
    </row>
    <row r="100" spans="1:18">
      <c r="B100" s="19" t="s">
        <v>31</v>
      </c>
      <c r="C100" s="18"/>
      <c r="D100" s="18"/>
      <c r="E100" s="18"/>
      <c r="F100" s="18"/>
      <c r="G100" s="18"/>
      <c r="H100" s="39">
        <v>0.20419435116399734</v>
      </c>
      <c r="I100" s="39">
        <v>0.25</v>
      </c>
      <c r="J100" s="39">
        <v>0.25</v>
      </c>
      <c r="K100" s="39">
        <v>0.25</v>
      </c>
      <c r="L100" s="39">
        <v>0.25</v>
      </c>
      <c r="M100" s="39">
        <v>0.25</v>
      </c>
      <c r="N100" s="39">
        <v>0.25</v>
      </c>
      <c r="O100" s="39">
        <v>0.25</v>
      </c>
      <c r="P100" s="39">
        <v>0.25</v>
      </c>
      <c r="Q100" s="39">
        <v>0.25</v>
      </c>
      <c r="R100" s="39">
        <v>0.25</v>
      </c>
    </row>
    <row r="101" spans="1:18">
      <c r="B101" s="20" t="str">
        <f>"Current Case - "&amp;CHOOSE($H$4,B98,B99,B100)</f>
        <v>Current Case - Best Case</v>
      </c>
      <c r="C101" s="21"/>
      <c r="D101" s="21"/>
      <c r="E101" s="21"/>
      <c r="F101" s="21"/>
      <c r="G101" s="21"/>
      <c r="H101" s="41">
        <f t="shared" ref="H101:M101" si="78">CHOOSE($H$4,H98,H99,H100)</f>
        <v>0.20419435116399734</v>
      </c>
      <c r="I101" s="41">
        <f t="shared" si="78"/>
        <v>0.25</v>
      </c>
      <c r="J101" s="41">
        <f t="shared" si="78"/>
        <v>0.25</v>
      </c>
      <c r="K101" s="41">
        <f t="shared" si="78"/>
        <v>0.25</v>
      </c>
      <c r="L101" s="41">
        <f t="shared" si="78"/>
        <v>0.25</v>
      </c>
      <c r="M101" s="41">
        <f t="shared" si="78"/>
        <v>0.25</v>
      </c>
      <c r="N101" s="41">
        <f t="shared" ref="N101:R101" si="79">CHOOSE($H$4,N98,N99,N100)</f>
        <v>0.25</v>
      </c>
      <c r="O101" s="41">
        <f t="shared" si="79"/>
        <v>0.25</v>
      </c>
      <c r="P101" s="41">
        <f t="shared" si="79"/>
        <v>0.25</v>
      </c>
      <c r="Q101" s="41">
        <f t="shared" si="79"/>
        <v>0.25</v>
      </c>
      <c r="R101" s="41">
        <f t="shared" si="79"/>
        <v>0.25</v>
      </c>
    </row>
    <row r="103" spans="1:18" ht="18">
      <c r="A103" t="s">
        <v>29</v>
      </c>
      <c r="B103" s="16" t="s">
        <v>614</v>
      </c>
      <c r="C103" s="14"/>
      <c r="D103" s="14"/>
      <c r="E103" s="14"/>
      <c r="F103" s="14"/>
      <c r="G103" s="14"/>
      <c r="H103" s="14"/>
      <c r="I103" s="14"/>
      <c r="J103" s="14"/>
      <c r="K103" s="14"/>
      <c r="L103" s="14"/>
      <c r="M103" s="14"/>
      <c r="N103" s="14"/>
      <c r="O103" s="14"/>
      <c r="P103" s="14"/>
      <c r="Q103" s="14"/>
      <c r="R103" s="14"/>
    </row>
    <row r="105" spans="1:18">
      <c r="B105" s="22" t="s">
        <v>608</v>
      </c>
    </row>
    <row r="106" spans="1:18">
      <c r="B106" s="19" t="s">
        <v>30</v>
      </c>
      <c r="C106" s="292">
        <f>Assumptions!G712</f>
        <v>1.7228084154789294E-2</v>
      </c>
      <c r="D106" s="292">
        <f>Assumptions!H712</f>
        <v>3.7277388019427954E-2</v>
      </c>
      <c r="E106" s="292">
        <f>Assumptions!I712</f>
        <v>1.4291752824648991E-2</v>
      </c>
      <c r="F106" s="292">
        <f>Assumptions!J712</f>
        <v>6.0200232980603952E-3</v>
      </c>
      <c r="G106" s="292">
        <f>Assumptions!K712</f>
        <v>8.1782350095335674E-3</v>
      </c>
      <c r="H106" s="39">
        <v>8.0000000000000002E-3</v>
      </c>
      <c r="I106" s="39">
        <v>8.0000000000000002E-3</v>
      </c>
      <c r="J106" s="39">
        <v>8.0000000000000002E-3</v>
      </c>
      <c r="K106" s="39">
        <v>8.0000000000000002E-3</v>
      </c>
      <c r="L106" s="39">
        <v>8.0000000000000002E-3</v>
      </c>
      <c r="M106" s="39">
        <v>8.0000000000000002E-3</v>
      </c>
      <c r="N106" s="39">
        <v>8.0000000000000002E-3</v>
      </c>
      <c r="O106" s="39">
        <v>8.0000000000000002E-3</v>
      </c>
      <c r="P106" s="39">
        <v>8.0000000000000002E-3</v>
      </c>
      <c r="Q106" s="39">
        <v>8.0000000000000002E-3</v>
      </c>
      <c r="R106" s="39">
        <v>8.0000000000000002E-3</v>
      </c>
    </row>
    <row r="107" spans="1:18">
      <c r="B107" s="19" t="s">
        <v>34</v>
      </c>
      <c r="C107" s="136">
        <f>C106</f>
        <v>1.7228084154789294E-2</v>
      </c>
      <c r="D107" s="136">
        <f t="shared" ref="D107:D108" si="80">D106</f>
        <v>3.7277388019427954E-2</v>
      </c>
      <c r="E107" s="136">
        <f t="shared" ref="E107:E108" si="81">E106</f>
        <v>1.4291752824648991E-2</v>
      </c>
      <c r="F107" s="136">
        <f t="shared" ref="F107:F108" si="82">F106</f>
        <v>6.0200232980603952E-3</v>
      </c>
      <c r="G107" s="136">
        <f t="shared" ref="G107:G108" si="83">G106</f>
        <v>8.1782350095335674E-3</v>
      </c>
      <c r="H107" s="39">
        <v>8.0000000000000002E-3</v>
      </c>
      <c r="I107" s="39">
        <v>8.0000000000000002E-3</v>
      </c>
      <c r="J107" s="39">
        <v>8.0000000000000002E-3</v>
      </c>
      <c r="K107" s="39">
        <v>8.0000000000000002E-3</v>
      </c>
      <c r="L107" s="39">
        <v>8.0000000000000002E-3</v>
      </c>
      <c r="M107" s="39">
        <v>8.0000000000000002E-3</v>
      </c>
      <c r="N107" s="39">
        <v>8.0000000000000002E-3</v>
      </c>
      <c r="O107" s="39">
        <v>8.0000000000000002E-3</v>
      </c>
      <c r="P107" s="39">
        <v>8.0000000000000002E-3</v>
      </c>
      <c r="Q107" s="39">
        <v>8.0000000000000002E-3</v>
      </c>
      <c r="R107" s="39">
        <v>8.0000000000000002E-3</v>
      </c>
    </row>
    <row r="108" spans="1:18">
      <c r="B108" s="19" t="s">
        <v>31</v>
      </c>
      <c r="C108" s="136">
        <f t="shared" ref="C108" si="84">C107</f>
        <v>1.7228084154789294E-2</v>
      </c>
      <c r="D108" s="136">
        <f t="shared" si="80"/>
        <v>3.7277388019427954E-2</v>
      </c>
      <c r="E108" s="136">
        <f t="shared" si="81"/>
        <v>1.4291752824648991E-2</v>
      </c>
      <c r="F108" s="136">
        <f t="shared" si="82"/>
        <v>6.0200232980603952E-3</v>
      </c>
      <c r="G108" s="136">
        <f t="shared" si="83"/>
        <v>8.1782350095335674E-3</v>
      </c>
      <c r="H108" s="39">
        <v>8.0000000000000002E-3</v>
      </c>
      <c r="I108" s="39">
        <v>8.0000000000000002E-3</v>
      </c>
      <c r="J108" s="39">
        <v>8.0000000000000002E-3</v>
      </c>
      <c r="K108" s="39">
        <v>8.0000000000000002E-3</v>
      </c>
      <c r="L108" s="39">
        <v>8.0000000000000002E-3</v>
      </c>
      <c r="M108" s="39">
        <v>8.0000000000000002E-3</v>
      </c>
      <c r="N108" s="39">
        <v>8.0000000000000002E-3</v>
      </c>
      <c r="O108" s="39">
        <v>8.0000000000000002E-3</v>
      </c>
      <c r="P108" s="39">
        <v>8.0000000000000002E-3</v>
      </c>
      <c r="Q108" s="39">
        <v>8.0000000000000002E-3</v>
      </c>
      <c r="R108" s="39">
        <v>8.0000000000000002E-3</v>
      </c>
    </row>
    <row r="109" spans="1:18">
      <c r="B109" s="20" t="str">
        <f>"Current Case - "&amp;CHOOSE($H$4,B106,B107,B108)</f>
        <v>Current Case - Best Case</v>
      </c>
      <c r="C109" s="21"/>
      <c r="D109" s="21"/>
      <c r="E109" s="21"/>
      <c r="F109" s="21"/>
      <c r="G109" s="21"/>
      <c r="H109" s="41">
        <f t="shared" ref="H109:M109" si="85">CHOOSE($H$4,H106,H107,H108)</f>
        <v>8.0000000000000002E-3</v>
      </c>
      <c r="I109" s="41">
        <f t="shared" si="85"/>
        <v>8.0000000000000002E-3</v>
      </c>
      <c r="J109" s="41">
        <f t="shared" si="85"/>
        <v>8.0000000000000002E-3</v>
      </c>
      <c r="K109" s="41">
        <f t="shared" si="85"/>
        <v>8.0000000000000002E-3</v>
      </c>
      <c r="L109" s="41">
        <f t="shared" si="85"/>
        <v>8.0000000000000002E-3</v>
      </c>
      <c r="M109" s="41">
        <f t="shared" si="85"/>
        <v>8.0000000000000002E-3</v>
      </c>
      <c r="N109" s="41">
        <f t="shared" ref="N109:R109" si="86">CHOOSE($H$4,N106,N107,N108)</f>
        <v>8.0000000000000002E-3</v>
      </c>
      <c r="O109" s="41">
        <f t="shared" si="86"/>
        <v>8.0000000000000002E-3</v>
      </c>
      <c r="P109" s="41">
        <f t="shared" si="86"/>
        <v>8.0000000000000002E-3</v>
      </c>
      <c r="Q109" s="41">
        <f t="shared" si="86"/>
        <v>8.0000000000000002E-3</v>
      </c>
      <c r="R109" s="41">
        <f t="shared" si="86"/>
        <v>8.0000000000000002E-3</v>
      </c>
    </row>
    <row r="111" spans="1:18" ht="18">
      <c r="A111" t="s">
        <v>29</v>
      </c>
      <c r="B111" s="16" t="s">
        <v>612</v>
      </c>
      <c r="C111" s="14"/>
      <c r="D111" s="14"/>
      <c r="E111" s="14"/>
      <c r="F111" s="14"/>
      <c r="G111" s="14"/>
      <c r="H111" s="14"/>
      <c r="I111" s="14"/>
      <c r="J111" s="14"/>
      <c r="K111" s="14"/>
      <c r="L111" s="14"/>
      <c r="M111" s="14"/>
      <c r="N111" s="14"/>
      <c r="O111" s="14"/>
      <c r="P111" s="14"/>
      <c r="Q111" s="14"/>
      <c r="R111" s="14"/>
    </row>
    <row r="113" spans="1:18">
      <c r="B113" s="22" t="s">
        <v>610</v>
      </c>
    </row>
    <row r="114" spans="1:18">
      <c r="B114" s="19" t="s">
        <v>30</v>
      </c>
      <c r="C114" s="292">
        <f>Assumptions!G713</f>
        <v>3.2958912208099322E-2</v>
      </c>
      <c r="D114" s="292">
        <f>Assumptions!H713</f>
        <v>5.5281975175391261E-2</v>
      </c>
      <c r="E114" s="292">
        <f>Assumptions!I713</f>
        <v>2.0021020643642969E-2</v>
      </c>
      <c r="F114" s="292">
        <f>Assumptions!J713</f>
        <v>1.0866997401370187E-2</v>
      </c>
      <c r="G114" s="292">
        <f>Assumptions!K713</f>
        <v>5.0940550385611431E-3</v>
      </c>
      <c r="H114" s="39">
        <v>0.02</v>
      </c>
      <c r="I114" s="39">
        <v>0.02</v>
      </c>
      <c r="J114" s="39">
        <v>0.02</v>
      </c>
      <c r="K114" s="39">
        <v>0.02</v>
      </c>
      <c r="L114" s="39">
        <v>0.02</v>
      </c>
      <c r="M114" s="39">
        <v>0.02</v>
      </c>
      <c r="N114" s="39">
        <v>0.02</v>
      </c>
      <c r="O114" s="39">
        <v>0.02</v>
      </c>
      <c r="P114" s="39">
        <v>0.02</v>
      </c>
      <c r="Q114" s="39">
        <v>0.02</v>
      </c>
      <c r="R114" s="39">
        <v>0.02</v>
      </c>
    </row>
    <row r="115" spans="1:18">
      <c r="B115" s="19" t="s">
        <v>34</v>
      </c>
      <c r="C115" s="136">
        <f>C114</f>
        <v>3.2958912208099322E-2</v>
      </c>
      <c r="D115" s="136">
        <f t="shared" ref="D115:D116" si="87">D114</f>
        <v>5.5281975175391261E-2</v>
      </c>
      <c r="E115" s="136">
        <f t="shared" ref="E115:E116" si="88">E114</f>
        <v>2.0021020643642969E-2</v>
      </c>
      <c r="F115" s="136">
        <f t="shared" ref="F115:F116" si="89">F114</f>
        <v>1.0866997401370187E-2</v>
      </c>
      <c r="G115" s="136">
        <f t="shared" ref="G115:G116" si="90">G114</f>
        <v>5.0940550385611431E-3</v>
      </c>
      <c r="H115" s="39">
        <v>0.02</v>
      </c>
      <c r="I115" s="39">
        <v>0.02</v>
      </c>
      <c r="J115" s="39">
        <v>0.02</v>
      </c>
      <c r="K115" s="39">
        <v>0.02</v>
      </c>
      <c r="L115" s="39">
        <v>0.02</v>
      </c>
      <c r="M115" s="39">
        <v>0.02</v>
      </c>
      <c r="N115" s="39">
        <v>0.02</v>
      </c>
      <c r="O115" s="39">
        <v>0.02</v>
      </c>
      <c r="P115" s="39">
        <v>0.02</v>
      </c>
      <c r="Q115" s="39">
        <v>0.02</v>
      </c>
      <c r="R115" s="39">
        <v>0.02</v>
      </c>
    </row>
    <row r="116" spans="1:18">
      <c r="B116" s="19" t="s">
        <v>31</v>
      </c>
      <c r="C116" s="136">
        <f t="shared" ref="C116" si="91">C115</f>
        <v>3.2958912208099322E-2</v>
      </c>
      <c r="D116" s="136">
        <f t="shared" si="87"/>
        <v>5.5281975175391261E-2</v>
      </c>
      <c r="E116" s="136">
        <f t="shared" si="88"/>
        <v>2.0021020643642969E-2</v>
      </c>
      <c r="F116" s="136">
        <f t="shared" si="89"/>
        <v>1.0866997401370187E-2</v>
      </c>
      <c r="G116" s="136">
        <f t="shared" si="90"/>
        <v>5.0940550385611431E-3</v>
      </c>
      <c r="H116" s="39">
        <v>0.02</v>
      </c>
      <c r="I116" s="39">
        <v>0.02</v>
      </c>
      <c r="J116" s="39">
        <v>0.02</v>
      </c>
      <c r="K116" s="39">
        <v>0.02</v>
      </c>
      <c r="L116" s="39">
        <v>0.02</v>
      </c>
      <c r="M116" s="39">
        <v>0.02</v>
      </c>
      <c r="N116" s="39">
        <v>0.02</v>
      </c>
      <c r="O116" s="39">
        <v>0.02</v>
      </c>
      <c r="P116" s="39">
        <v>0.02</v>
      </c>
      <c r="Q116" s="39">
        <v>0.02</v>
      </c>
      <c r="R116" s="39">
        <v>0.02</v>
      </c>
    </row>
    <row r="117" spans="1:18">
      <c r="B117" s="20" t="str">
        <f>"Current Case - "&amp;CHOOSE($H$4,B114,B115,B116)</f>
        <v>Current Case - Best Case</v>
      </c>
      <c r="C117" s="21"/>
      <c r="D117" s="21"/>
      <c r="E117" s="21"/>
      <c r="F117" s="21"/>
      <c r="G117" s="21"/>
      <c r="H117" s="41">
        <f t="shared" ref="H117:M117" si="92">CHOOSE($H$4,H114,H115,H116)</f>
        <v>0.02</v>
      </c>
      <c r="I117" s="41">
        <f t="shared" si="92"/>
        <v>0.02</v>
      </c>
      <c r="J117" s="41">
        <f t="shared" si="92"/>
        <v>0.02</v>
      </c>
      <c r="K117" s="41">
        <f t="shared" si="92"/>
        <v>0.02</v>
      </c>
      <c r="L117" s="41">
        <f t="shared" si="92"/>
        <v>0.02</v>
      </c>
      <c r="M117" s="41">
        <f t="shared" si="92"/>
        <v>0.02</v>
      </c>
      <c r="N117" s="41">
        <f t="shared" ref="N117:R117" si="93">CHOOSE($H$4,N114,N115,N116)</f>
        <v>0.02</v>
      </c>
      <c r="O117" s="41">
        <f t="shared" si="93"/>
        <v>0.02</v>
      </c>
      <c r="P117" s="41">
        <f t="shared" si="93"/>
        <v>0.02</v>
      </c>
      <c r="Q117" s="41">
        <f t="shared" si="93"/>
        <v>0.02</v>
      </c>
      <c r="R117" s="41">
        <f t="shared" si="93"/>
        <v>0.02</v>
      </c>
    </row>
    <row r="119" spans="1:18" ht="18">
      <c r="A119" t="s">
        <v>29</v>
      </c>
      <c r="B119" s="16" t="s">
        <v>659</v>
      </c>
      <c r="C119" s="14"/>
      <c r="D119" s="14"/>
      <c r="E119" s="14"/>
      <c r="F119" s="14"/>
      <c r="G119" s="14"/>
      <c r="H119" s="14"/>
      <c r="I119" s="14"/>
      <c r="J119" s="14"/>
      <c r="K119" s="14"/>
      <c r="L119" s="14"/>
      <c r="M119" s="14"/>
      <c r="N119" s="14"/>
      <c r="O119" s="14"/>
      <c r="P119" s="14"/>
      <c r="Q119" s="14"/>
      <c r="R119" s="14"/>
    </row>
    <row r="121" spans="1:18">
      <c r="B121" s="22" t="s">
        <v>622</v>
      </c>
    </row>
    <row r="122" spans="1:18">
      <c r="B122" s="19" t="s">
        <v>30</v>
      </c>
      <c r="C122" s="292">
        <f>Assumptions!G735</f>
        <v>4.1357234314980784E-2</v>
      </c>
      <c r="D122" s="292">
        <f>Assumptions!H735</f>
        <v>1.9823628015450769E-2</v>
      </c>
      <c r="E122" s="292">
        <f>Assumptions!I735</f>
        <v>5.3770600965540198E-2</v>
      </c>
      <c r="F122" s="292">
        <f>Assumptions!J735</f>
        <v>0.11480945489628558</v>
      </c>
      <c r="G122" s="292">
        <f>Assumptions!K735</f>
        <v>0.23237737871884209</v>
      </c>
      <c r="H122" s="39">
        <v>6.83E-2</v>
      </c>
      <c r="I122" s="39">
        <v>6.83E-2</v>
      </c>
      <c r="J122" s="39">
        <v>6.83E-2</v>
      </c>
      <c r="K122" s="39">
        <v>6.83E-2</v>
      </c>
      <c r="L122" s="39">
        <v>6.83E-2</v>
      </c>
      <c r="M122" s="39">
        <v>6.83E-2</v>
      </c>
      <c r="N122" s="39">
        <v>6.83E-2</v>
      </c>
      <c r="O122" s="39">
        <v>6.83E-2</v>
      </c>
      <c r="P122" s="39">
        <v>6.83E-2</v>
      </c>
      <c r="Q122" s="39">
        <v>6.83E-2</v>
      </c>
      <c r="R122" s="39">
        <v>6.83E-2</v>
      </c>
    </row>
    <row r="123" spans="1:18">
      <c r="B123" s="19" t="s">
        <v>34</v>
      </c>
      <c r="C123" s="136">
        <f>C122</f>
        <v>4.1357234314980784E-2</v>
      </c>
      <c r="D123" s="136">
        <f t="shared" ref="D123:D124" si="94">D122</f>
        <v>1.9823628015450769E-2</v>
      </c>
      <c r="E123" s="136">
        <f t="shared" ref="E123:E124" si="95">E122</f>
        <v>5.3770600965540198E-2</v>
      </c>
      <c r="F123" s="136">
        <f t="shared" ref="F123:F124" si="96">F122</f>
        <v>0.11480945489628558</v>
      </c>
      <c r="G123" s="136">
        <f t="shared" ref="G123:G124" si="97">G122</f>
        <v>0.23237737871884209</v>
      </c>
      <c r="H123" s="39">
        <v>6.83E-2</v>
      </c>
      <c r="I123" s="39">
        <v>6.83E-2</v>
      </c>
      <c r="J123" s="39">
        <v>6.83E-2</v>
      </c>
      <c r="K123" s="39">
        <v>6.83E-2</v>
      </c>
      <c r="L123" s="39">
        <v>6.83E-2</v>
      </c>
      <c r="M123" s="39">
        <v>6.83E-2</v>
      </c>
      <c r="N123" s="39">
        <v>6.83E-2</v>
      </c>
      <c r="O123" s="39">
        <v>6.83E-2</v>
      </c>
      <c r="P123" s="39">
        <v>6.83E-2</v>
      </c>
      <c r="Q123" s="39">
        <v>6.83E-2</v>
      </c>
      <c r="R123" s="39">
        <v>6.83E-2</v>
      </c>
    </row>
    <row r="124" spans="1:18">
      <c r="B124" s="19" t="s">
        <v>31</v>
      </c>
      <c r="C124" s="136">
        <f t="shared" ref="C124" si="98">C123</f>
        <v>4.1357234314980784E-2</v>
      </c>
      <c r="D124" s="136">
        <f t="shared" si="94"/>
        <v>1.9823628015450769E-2</v>
      </c>
      <c r="E124" s="136">
        <f t="shared" si="95"/>
        <v>5.3770600965540198E-2</v>
      </c>
      <c r="F124" s="136">
        <f t="shared" si="96"/>
        <v>0.11480945489628558</v>
      </c>
      <c r="G124" s="136">
        <f t="shared" si="97"/>
        <v>0.23237737871884209</v>
      </c>
      <c r="H124" s="39">
        <v>6.83E-2</v>
      </c>
      <c r="I124" s="39">
        <v>6.83E-2</v>
      </c>
      <c r="J124" s="39">
        <v>6.83E-2</v>
      </c>
      <c r="K124" s="39">
        <v>6.83E-2</v>
      </c>
      <c r="L124" s="39">
        <v>6.83E-2</v>
      </c>
      <c r="M124" s="39">
        <v>6.83E-2</v>
      </c>
      <c r="N124" s="39">
        <v>6.83E-2</v>
      </c>
      <c r="O124" s="39">
        <v>6.83E-2</v>
      </c>
      <c r="P124" s="39">
        <v>6.83E-2</v>
      </c>
      <c r="Q124" s="39">
        <v>6.83E-2</v>
      </c>
      <c r="R124" s="39">
        <v>6.83E-2</v>
      </c>
    </row>
    <row r="125" spans="1:18">
      <c r="B125" s="20" t="str">
        <f>"Current Case - "&amp;CHOOSE($H$4,B122,B123,B124)</f>
        <v>Current Case - Best Case</v>
      </c>
      <c r="C125" s="21"/>
      <c r="D125" s="21"/>
      <c r="E125" s="21"/>
      <c r="F125" s="21"/>
      <c r="G125" s="21"/>
      <c r="H125" s="41">
        <f t="shared" ref="H125:M125" si="99">CHOOSE($H$4,H122,H123,H124)</f>
        <v>6.83E-2</v>
      </c>
      <c r="I125" s="41">
        <f t="shared" si="99"/>
        <v>6.83E-2</v>
      </c>
      <c r="J125" s="41">
        <f t="shared" si="99"/>
        <v>6.83E-2</v>
      </c>
      <c r="K125" s="41">
        <f t="shared" si="99"/>
        <v>6.83E-2</v>
      </c>
      <c r="L125" s="41">
        <f t="shared" si="99"/>
        <v>6.83E-2</v>
      </c>
      <c r="M125" s="41">
        <f t="shared" si="99"/>
        <v>6.83E-2</v>
      </c>
      <c r="N125" s="41">
        <f t="shared" ref="N125:R125" si="100">CHOOSE($H$4,N122,N123,N124)</f>
        <v>6.83E-2</v>
      </c>
      <c r="O125" s="41">
        <f t="shared" si="100"/>
        <v>6.83E-2</v>
      </c>
      <c r="P125" s="41">
        <f t="shared" si="100"/>
        <v>6.83E-2</v>
      </c>
      <c r="Q125" s="41">
        <f t="shared" si="100"/>
        <v>6.83E-2</v>
      </c>
      <c r="R125" s="41">
        <f t="shared" si="100"/>
        <v>6.83E-2</v>
      </c>
    </row>
    <row r="128" spans="1:18" ht="18">
      <c r="A128" t="s">
        <v>29</v>
      </c>
      <c r="B128" s="16" t="s">
        <v>660</v>
      </c>
      <c r="C128" s="14"/>
      <c r="D128" s="14"/>
      <c r="E128" s="14"/>
      <c r="F128" s="14"/>
      <c r="G128" s="14"/>
      <c r="H128" s="14"/>
      <c r="I128" s="14"/>
      <c r="J128" s="14"/>
      <c r="K128" s="14"/>
      <c r="L128" s="14"/>
      <c r="M128" s="14"/>
      <c r="N128" s="14"/>
      <c r="O128" s="14"/>
      <c r="P128" s="14"/>
      <c r="Q128" s="14"/>
      <c r="R128" s="14"/>
    </row>
    <row r="130" spans="2:18">
      <c r="B130" s="22" t="s">
        <v>39</v>
      </c>
    </row>
    <row r="131" spans="2:18">
      <c r="B131" s="19" t="s">
        <v>30</v>
      </c>
      <c r="C131" s="18"/>
      <c r="D131" s="18"/>
      <c r="E131" s="18"/>
      <c r="F131" s="18"/>
      <c r="G131" s="18"/>
      <c r="H131" s="39">
        <v>0.3</v>
      </c>
      <c r="I131" s="39">
        <v>0.35</v>
      </c>
      <c r="J131" s="39">
        <v>0.4</v>
      </c>
      <c r="K131" s="39">
        <v>0.45</v>
      </c>
      <c r="L131" s="39">
        <v>0.5</v>
      </c>
      <c r="M131" s="39">
        <v>0.55000000000000004</v>
      </c>
      <c r="N131" s="39">
        <v>0.6</v>
      </c>
      <c r="O131" s="39">
        <v>0.65</v>
      </c>
      <c r="P131" s="39">
        <v>0.7</v>
      </c>
      <c r="Q131" s="39">
        <v>0.75</v>
      </c>
      <c r="R131" s="39">
        <v>0.8</v>
      </c>
    </row>
    <row r="132" spans="2:18">
      <c r="B132" s="19" t="s">
        <v>34</v>
      </c>
      <c r="C132" s="18"/>
      <c r="D132" s="18"/>
      <c r="E132" s="18"/>
      <c r="F132" s="18"/>
      <c r="G132" s="18"/>
      <c r="H132" s="39">
        <v>0.3</v>
      </c>
      <c r="I132" s="39">
        <v>0.35</v>
      </c>
      <c r="J132" s="39">
        <v>0.4</v>
      </c>
      <c r="K132" s="39">
        <v>0.45</v>
      </c>
      <c r="L132" s="39">
        <v>0.5</v>
      </c>
      <c r="M132" s="39">
        <v>0.55000000000000004</v>
      </c>
      <c r="N132" s="39">
        <v>0.6</v>
      </c>
      <c r="O132" s="39">
        <v>0.65</v>
      </c>
      <c r="P132" s="39">
        <v>0.7</v>
      </c>
      <c r="Q132" s="39">
        <v>0.75</v>
      </c>
      <c r="R132" s="39">
        <v>0.8</v>
      </c>
    </row>
    <row r="133" spans="2:18">
      <c r="B133" s="19" t="s">
        <v>31</v>
      </c>
      <c r="C133" s="18"/>
      <c r="D133" s="18"/>
      <c r="E133" s="18"/>
      <c r="F133" s="18"/>
      <c r="G133" s="18"/>
      <c r="H133" s="39">
        <v>0.3</v>
      </c>
      <c r="I133" s="39">
        <v>0.35</v>
      </c>
      <c r="J133" s="39">
        <v>0.4</v>
      </c>
      <c r="K133" s="39">
        <v>0.45</v>
      </c>
      <c r="L133" s="39">
        <v>0.5</v>
      </c>
      <c r="M133" s="39">
        <v>0.55000000000000004</v>
      </c>
      <c r="N133" s="39">
        <v>0.6</v>
      </c>
      <c r="O133" s="39">
        <v>0.65</v>
      </c>
      <c r="P133" s="39">
        <v>0.7</v>
      </c>
      <c r="Q133" s="39">
        <v>0.75</v>
      </c>
      <c r="R133" s="39">
        <v>0.8</v>
      </c>
    </row>
    <row r="134" spans="2:18">
      <c r="B134" s="20" t="str">
        <f>"Current Case - "&amp;CHOOSE($H$4,B131,B132,B133)</f>
        <v>Current Case - Best Case</v>
      </c>
      <c r="C134" s="21"/>
      <c r="D134" s="21"/>
      <c r="E134" s="21"/>
      <c r="F134" s="21"/>
      <c r="G134" s="21"/>
      <c r="H134" s="41">
        <f t="shared" ref="H134:M134" si="101">CHOOSE($H$4,H131,H132,H133)</f>
        <v>0.3</v>
      </c>
      <c r="I134" s="41">
        <f t="shared" si="101"/>
        <v>0.35</v>
      </c>
      <c r="J134" s="41">
        <f t="shared" si="101"/>
        <v>0.4</v>
      </c>
      <c r="K134" s="41">
        <f t="shared" si="101"/>
        <v>0.45</v>
      </c>
      <c r="L134" s="41">
        <f t="shared" si="101"/>
        <v>0.5</v>
      </c>
      <c r="M134" s="41">
        <f t="shared" si="101"/>
        <v>0.55000000000000004</v>
      </c>
      <c r="N134" s="41">
        <f t="shared" ref="N134:R134" si="102">CHOOSE($H$4,N131,N132,N133)</f>
        <v>0.6</v>
      </c>
      <c r="O134" s="41">
        <f t="shared" si="102"/>
        <v>0.65</v>
      </c>
      <c r="P134" s="41">
        <f t="shared" si="102"/>
        <v>0.7</v>
      </c>
      <c r="Q134" s="41">
        <f t="shared" si="102"/>
        <v>0.75</v>
      </c>
      <c r="R134" s="41">
        <f t="shared" si="102"/>
        <v>0.8</v>
      </c>
    </row>
  </sheetData>
  <sheetProtection algorithmName="SHA-512" hashValue="XBCXr2RS6bEK3K2c96gOyJwCa+b3r6xIby6knWKwPCzOsq2yGhK6k8Eri+Tu6SmXtsegBcR2FampnTNJxzHlZw==" saltValue="De4idE7u99M7HSNIq3Yesg==" spinCount="100000" sheet="1" objects="1" scenarios="1"/>
  <mergeCells count="3">
    <mergeCell ref="H6:M6"/>
    <mergeCell ref="C6:G6"/>
    <mergeCell ref="N6:R6"/>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Drop Down 1">
              <controlPr defaultSize="0" autoLine="0" autoPict="0">
                <anchor moveWithCells="1">
                  <from>
                    <xdr:col>7</xdr:col>
                    <xdr:colOff>7620</xdr:colOff>
                    <xdr:row>2</xdr:row>
                    <xdr:rowOff>175260</xdr:rowOff>
                  </from>
                  <to>
                    <xdr:col>10</xdr:col>
                    <xdr:colOff>68580</xdr:colOff>
                    <xdr:row>4</xdr:row>
                    <xdr:rowOff>30480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A02A6-A6B8-4B60-92F2-A0A77AB4A380}">
  <dimension ref="A2:S161"/>
  <sheetViews>
    <sheetView showGridLines="0" topLeftCell="A3" zoomScaleNormal="100" workbookViewId="0">
      <pane xSplit="3" ySplit="5" topLeftCell="D95" activePane="bottomRight" state="frozen"/>
      <selection activeCell="A3" sqref="A3"/>
      <selection pane="topRight" activeCell="D3" sqref="D3"/>
      <selection pane="bottomLeft" activeCell="A8" sqref="A8"/>
      <selection pane="bottomRight" activeCell="E109" sqref="E109"/>
    </sheetView>
  </sheetViews>
  <sheetFormatPr defaultRowHeight="14.4"/>
  <cols>
    <col min="1" max="1" width="1.88671875" customWidth="1"/>
    <col min="2" max="2" width="38" customWidth="1"/>
    <col min="3" max="3" width="27" customWidth="1"/>
    <col min="4" max="19" width="12" customWidth="1"/>
  </cols>
  <sheetData>
    <row r="2" spans="1:19" ht="21">
      <c r="B2" s="10" t="s">
        <v>24</v>
      </c>
      <c r="C2" s="10"/>
    </row>
    <row r="3" spans="1:19" ht="18">
      <c r="C3" s="15"/>
    </row>
    <row r="4" spans="1:19" ht="18">
      <c r="B4" s="15" t="str">
        <f>'Input Sheet'!C4</f>
        <v>Eicher Motors Ltd.</v>
      </c>
      <c r="C4" s="15"/>
    </row>
    <row r="6" spans="1:19">
      <c r="B6" s="22"/>
      <c r="C6" s="22"/>
      <c r="D6" s="427" t="s">
        <v>27</v>
      </c>
      <c r="E6" s="427"/>
      <c r="F6" s="427"/>
      <c r="G6" s="427"/>
      <c r="H6" s="427"/>
      <c r="I6" s="424" t="s">
        <v>28</v>
      </c>
      <c r="J6" s="424"/>
      <c r="K6" s="424"/>
      <c r="L6" s="424"/>
      <c r="M6" s="424"/>
      <c r="N6" s="424"/>
      <c r="O6" s="426" t="s">
        <v>983</v>
      </c>
      <c r="P6" s="426"/>
      <c r="Q6" s="426"/>
      <c r="R6" s="426"/>
      <c r="S6" s="426"/>
    </row>
    <row r="7" spans="1:19">
      <c r="B7" s="12" t="s">
        <v>26</v>
      </c>
      <c r="C7" s="12"/>
      <c r="D7" s="13">
        <f>'P&amp;L'!G2</f>
        <v>2020</v>
      </c>
      <c r="E7" s="13">
        <f>'P&amp;L'!H2</f>
        <v>2021</v>
      </c>
      <c r="F7" s="13">
        <f>'P&amp;L'!I2</f>
        <v>2022</v>
      </c>
      <c r="G7" s="13">
        <f>'P&amp;L'!J2</f>
        <v>2023</v>
      </c>
      <c r="H7" s="13">
        <f>'P&amp;L'!K2</f>
        <v>2024</v>
      </c>
      <c r="I7" s="13">
        <f>H7+1</f>
        <v>2025</v>
      </c>
      <c r="J7" s="13">
        <f>I7+1</f>
        <v>2026</v>
      </c>
      <c r="K7" s="13">
        <f>J7+1</f>
        <v>2027</v>
      </c>
      <c r="L7" s="13">
        <f>K7+1</f>
        <v>2028</v>
      </c>
      <c r="M7" s="13">
        <f>L7+1</f>
        <v>2029</v>
      </c>
      <c r="N7" s="13">
        <f t="shared" ref="N7" si="0">M7+1</f>
        <v>2030</v>
      </c>
      <c r="O7" s="13">
        <f t="shared" ref="O7" si="1">N7+1</f>
        <v>2031</v>
      </c>
      <c r="P7" s="13">
        <f t="shared" ref="P7" si="2">O7+1</f>
        <v>2032</v>
      </c>
      <c r="Q7" s="13">
        <f t="shared" ref="Q7" si="3">P7+1</f>
        <v>2033</v>
      </c>
      <c r="R7" s="13">
        <f t="shared" ref="R7" si="4">Q7+1</f>
        <v>2034</v>
      </c>
      <c r="S7" s="13">
        <f t="shared" ref="S7" si="5">R7+1</f>
        <v>2035</v>
      </c>
    </row>
    <row r="9" spans="1:19" ht="18">
      <c r="A9" t="s">
        <v>29</v>
      </c>
      <c r="B9" s="16" t="s">
        <v>353</v>
      </c>
      <c r="C9" s="16"/>
      <c r="D9" s="14"/>
      <c r="E9" s="14"/>
      <c r="F9" s="14"/>
      <c r="G9" s="14"/>
      <c r="H9" s="14"/>
      <c r="I9" s="14"/>
      <c r="J9" s="14"/>
      <c r="K9" s="14"/>
      <c r="L9" s="14"/>
      <c r="M9" s="14"/>
      <c r="N9" s="14"/>
      <c r="O9" s="14"/>
      <c r="P9" s="14"/>
      <c r="Q9" s="14"/>
      <c r="R9" s="14"/>
      <c r="S9" s="14"/>
    </row>
    <row r="10" spans="1:19">
      <c r="B10" s="22"/>
      <c r="C10" s="22"/>
    </row>
    <row r="11" spans="1:19">
      <c r="B11" s="33" t="s">
        <v>43</v>
      </c>
      <c r="C11" s="33"/>
      <c r="D11" s="148">
        <f>'P&amp;L'!G3</f>
        <v>9154</v>
      </c>
      <c r="E11" s="148">
        <f>'P&amp;L'!H3</f>
        <v>8720</v>
      </c>
      <c r="F11" s="148">
        <f>'P&amp;L'!I3</f>
        <v>10298</v>
      </c>
      <c r="G11" s="148">
        <f>'P&amp;L'!J3</f>
        <v>14442</v>
      </c>
      <c r="H11" s="148">
        <f>'P&amp;L'!K3</f>
        <v>16536</v>
      </c>
      <c r="I11" s="149">
        <f>H11*(1+'Control Sheet'!H17)</f>
        <v>18870.8832</v>
      </c>
      <c r="J11" s="149">
        <f>I11*(1+'Control Sheet'!I17)</f>
        <v>21701.515679999997</v>
      </c>
      <c r="K11" s="149">
        <f>J11*(1+'Control Sheet'!J17)</f>
        <v>25390.773345599995</v>
      </c>
      <c r="L11" s="149">
        <f>K11*(1+'Control Sheet'!K17)</f>
        <v>28776.209791679994</v>
      </c>
      <c r="M11" s="149">
        <f>L11*(1+'Control Sheet'!L17)</f>
        <v>31557.910071542392</v>
      </c>
      <c r="N11" s="149">
        <f>M11*(1+'Control Sheet'!M17)</f>
        <v>33451.384675834939</v>
      </c>
      <c r="O11" s="149">
        <f>N11*(1+'Control Sheet'!N17)</f>
        <v>35291.210833005862</v>
      </c>
      <c r="P11" s="149">
        <f>O11*(1+'Control Sheet'!O17)</f>
        <v>37055.771374656157</v>
      </c>
      <c r="Q11" s="149">
        <f>P11*(1+'Control Sheet'!P17)</f>
        <v>38723.281086515679</v>
      </c>
      <c r="R11" s="149">
        <f>Q11*(1+'Control Sheet'!Q17)</f>
        <v>40369.020532692593</v>
      </c>
      <c r="S11" s="149">
        <f>R11*(1+'Control Sheet'!R17)</f>
        <v>41983.781354000297</v>
      </c>
    </row>
    <row r="12" spans="1:19">
      <c r="B12" s="22"/>
      <c r="C12" s="22"/>
      <c r="D12" s="147"/>
      <c r="E12" s="147"/>
      <c r="F12" s="147"/>
      <c r="G12" s="147"/>
      <c r="H12" s="147"/>
      <c r="I12" s="190"/>
      <c r="J12" s="190"/>
      <c r="K12" s="190"/>
      <c r="L12" s="190"/>
      <c r="M12" s="190"/>
      <c r="N12" s="190"/>
      <c r="O12" s="190"/>
      <c r="P12" s="190"/>
      <c r="Q12" s="190"/>
      <c r="R12" s="190"/>
      <c r="S12" s="190"/>
    </row>
    <row r="13" spans="1:19">
      <c r="B13" s="40" t="s">
        <v>585</v>
      </c>
      <c r="C13" s="286"/>
      <c r="D13" s="287"/>
      <c r="E13" s="289">
        <f>E11/D11-1</f>
        <v>-4.7410967882892674E-2</v>
      </c>
      <c r="F13" s="289">
        <f t="shared" ref="F13:H13" si="6">F11/E11-1</f>
        <v>0.18096330275229366</v>
      </c>
      <c r="G13" s="289">
        <f t="shared" si="6"/>
        <v>0.40240823460866193</v>
      </c>
      <c r="H13" s="289">
        <f t="shared" si="6"/>
        <v>0.14499376817615284</v>
      </c>
      <c r="I13" s="288">
        <f>'Control Sheet'!H17</f>
        <v>0.14119999999999999</v>
      </c>
      <c r="J13" s="288">
        <f>'Control Sheet'!I17</f>
        <v>0.15</v>
      </c>
      <c r="K13" s="288">
        <f>'Control Sheet'!J17</f>
        <v>0.17</v>
      </c>
      <c r="L13" s="288">
        <f>'Control Sheet'!K17</f>
        <v>0.13333333333333333</v>
      </c>
      <c r="M13" s="288">
        <f>'Control Sheet'!L17</f>
        <v>9.6666666666666651E-2</v>
      </c>
      <c r="N13" s="288">
        <f>'Control Sheet'!M17</f>
        <v>0.06</v>
      </c>
      <c r="O13" s="288">
        <f>'Control Sheet'!N17</f>
        <v>5.5E-2</v>
      </c>
      <c r="P13" s="288">
        <f>'Control Sheet'!O17</f>
        <v>0.05</v>
      </c>
      <c r="Q13" s="288">
        <f>'Control Sheet'!P17</f>
        <v>4.4999999999999998E-2</v>
      </c>
      <c r="R13" s="288">
        <f>'Control Sheet'!Q17</f>
        <v>4.2500000000000003E-2</v>
      </c>
      <c r="S13" s="288">
        <f>'Control Sheet'!R17</f>
        <v>0.04</v>
      </c>
    </row>
    <row r="15" spans="1:19" ht="18">
      <c r="A15" t="s">
        <v>29</v>
      </c>
      <c r="B15" s="16" t="s">
        <v>36</v>
      </c>
      <c r="C15" s="16"/>
      <c r="D15" s="14"/>
      <c r="E15" s="14"/>
      <c r="F15" s="14"/>
      <c r="G15" s="14"/>
      <c r="H15" s="14"/>
      <c r="I15" s="14"/>
      <c r="J15" s="14"/>
      <c r="K15" s="14"/>
      <c r="L15" s="14"/>
      <c r="M15" s="14"/>
      <c r="N15" s="14"/>
      <c r="O15" s="14"/>
      <c r="P15" s="14"/>
      <c r="Q15" s="14"/>
      <c r="R15" s="14"/>
      <c r="S15" s="14"/>
    </row>
    <row r="16" spans="1:19" ht="18">
      <c r="B16" s="171"/>
      <c r="C16" s="171"/>
      <c r="D16" s="167"/>
      <c r="E16" s="167"/>
      <c r="F16" s="167"/>
      <c r="G16" s="167"/>
      <c r="H16" s="167"/>
      <c r="I16" s="167"/>
      <c r="J16" s="167"/>
      <c r="K16" s="167"/>
      <c r="L16" s="167"/>
      <c r="M16" s="167"/>
      <c r="N16" s="167"/>
      <c r="O16" s="167"/>
      <c r="P16" s="167"/>
      <c r="Q16" s="167"/>
      <c r="R16" s="167"/>
      <c r="S16" s="167"/>
    </row>
    <row r="18" spans="1:19">
      <c r="B18" s="33" t="s">
        <v>48</v>
      </c>
      <c r="C18" s="33"/>
      <c r="D18" s="148">
        <f>'P&amp;L'!G14</f>
        <v>4996</v>
      </c>
      <c r="E18" s="148">
        <f>'P&amp;L'!H14</f>
        <v>5112</v>
      </c>
      <c r="F18" s="148">
        <f>'P&amp;L'!I14</f>
        <v>5956</v>
      </c>
      <c r="G18" s="148">
        <f>'P&amp;L'!J14</f>
        <v>8212</v>
      </c>
      <c r="H18" s="148">
        <f>'P&amp;L'!K14</f>
        <v>8981</v>
      </c>
      <c r="I18" s="149">
        <f t="shared" ref="I18:N18" si="7">I11*I20</f>
        <v>10462.017646079999</v>
      </c>
      <c r="J18" s="149">
        <f t="shared" si="7"/>
        <v>12152.848780799999</v>
      </c>
      <c r="K18" s="149">
        <f t="shared" si="7"/>
        <v>13964.925340079999</v>
      </c>
      <c r="L18" s="149">
        <f t="shared" si="7"/>
        <v>15683.034336465595</v>
      </c>
      <c r="M18" s="149">
        <f t="shared" si="7"/>
        <v>17356.850539348317</v>
      </c>
      <c r="N18" s="149">
        <f t="shared" si="7"/>
        <v>18398.261571709219</v>
      </c>
      <c r="O18" s="149">
        <f t="shared" ref="O18:S18" si="8">O11*O20</f>
        <v>19410.165958153226</v>
      </c>
      <c r="P18" s="149">
        <f t="shared" si="8"/>
        <v>20380.674256060887</v>
      </c>
      <c r="Q18" s="149">
        <f t="shared" si="8"/>
        <v>21297.804597583625</v>
      </c>
      <c r="R18" s="149">
        <f t="shared" si="8"/>
        <v>22202.961292980926</v>
      </c>
      <c r="S18" s="149">
        <f t="shared" si="8"/>
        <v>23091.079744700164</v>
      </c>
    </row>
    <row r="19" spans="1:19">
      <c r="B19" s="22"/>
      <c r="C19" s="22"/>
      <c r="D19" s="147"/>
      <c r="E19" s="147"/>
      <c r="F19" s="147"/>
      <c r="G19" s="147"/>
      <c r="H19" s="147"/>
      <c r="I19" s="190"/>
      <c r="J19" s="190"/>
      <c r="K19" s="190"/>
      <c r="L19" s="190"/>
      <c r="M19" s="190"/>
      <c r="N19" s="190"/>
      <c r="O19" s="190"/>
      <c r="P19" s="190"/>
      <c r="Q19" s="190"/>
      <c r="R19" s="190"/>
      <c r="S19" s="190"/>
    </row>
    <row r="20" spans="1:19">
      <c r="B20" s="40" t="s">
        <v>354</v>
      </c>
      <c r="C20" s="40"/>
      <c r="D20" s="202">
        <f>D18/D11</f>
        <v>0.54577233996067298</v>
      </c>
      <c r="E20" s="202">
        <f>E18/E11</f>
        <v>0.58623853211009169</v>
      </c>
      <c r="F20" s="202">
        <f>F18/F11</f>
        <v>0.57836473101573116</v>
      </c>
      <c r="G20" s="202">
        <f>G18/G11</f>
        <v>0.56861930480542866</v>
      </c>
      <c r="H20" s="202">
        <f>H18/H11</f>
        <v>0.54311804547653608</v>
      </c>
      <c r="I20" s="274">
        <f>'Control Sheet'!H27</f>
        <v>0.5544</v>
      </c>
      <c r="J20" s="274">
        <f>'Control Sheet'!I27</f>
        <v>0.56000000000000005</v>
      </c>
      <c r="K20" s="274">
        <f>'Control Sheet'!J27</f>
        <v>0.55000000000000004</v>
      </c>
      <c r="L20" s="274">
        <f>'Control Sheet'!K27</f>
        <v>0.54499999999999993</v>
      </c>
      <c r="M20" s="274">
        <f>'Control Sheet'!L27</f>
        <v>0.55000000000000004</v>
      </c>
      <c r="N20" s="274">
        <f>'Control Sheet'!M27</f>
        <v>0.55000000000000004</v>
      </c>
      <c r="O20" s="274">
        <f>'Control Sheet'!N27</f>
        <v>0.55000000000000004</v>
      </c>
      <c r="P20" s="274">
        <f>'Control Sheet'!O27</f>
        <v>0.55000000000000004</v>
      </c>
      <c r="Q20" s="274">
        <f>'Control Sheet'!P27</f>
        <v>0.55000000000000004</v>
      </c>
      <c r="R20" s="274">
        <f>'Control Sheet'!Q27</f>
        <v>0.55000000000000004</v>
      </c>
      <c r="S20" s="274">
        <f>'Control Sheet'!R27</f>
        <v>0.55000000000000004</v>
      </c>
    </row>
    <row r="22" spans="1:19" ht="18">
      <c r="A22" t="s">
        <v>29</v>
      </c>
      <c r="B22" s="16" t="s">
        <v>37</v>
      </c>
      <c r="C22" s="16"/>
      <c r="D22" s="14"/>
      <c r="E22" s="14"/>
      <c r="F22" s="14"/>
      <c r="G22" s="14"/>
      <c r="H22" s="14"/>
      <c r="I22" s="14"/>
      <c r="J22" s="14"/>
      <c r="K22" s="14"/>
      <c r="L22" s="14"/>
      <c r="M22" s="14"/>
      <c r="N22" s="14"/>
      <c r="O22" s="14"/>
      <c r="P22" s="14"/>
      <c r="Q22" s="14"/>
      <c r="R22" s="14"/>
      <c r="S22" s="14"/>
    </row>
    <row r="24" spans="1:19">
      <c r="B24" s="23" t="s">
        <v>198</v>
      </c>
      <c r="C24" s="23"/>
      <c r="D24" s="17"/>
      <c r="E24" s="17"/>
      <c r="F24" s="17"/>
      <c r="G24" s="17"/>
      <c r="H24" s="17"/>
      <c r="I24" s="17"/>
      <c r="J24" s="17"/>
      <c r="K24" s="17"/>
      <c r="L24" s="17"/>
      <c r="M24" s="17"/>
      <c r="N24" s="17"/>
      <c r="O24" s="17"/>
      <c r="P24" s="17"/>
      <c r="Q24" s="17"/>
      <c r="R24" s="17"/>
      <c r="S24" s="17"/>
    </row>
    <row r="25" spans="1:19">
      <c r="B25" t="str">
        <f>'Control Sheet'!B31</f>
        <v>Employee Cost % Revenue</v>
      </c>
      <c r="D25" s="77">
        <f>'Control Sheet'!C32</f>
        <v>8.6956521739130432E-2</v>
      </c>
      <c r="E25" s="77">
        <f>'Control Sheet'!D32</f>
        <v>9.66743119266055E-2</v>
      </c>
      <c r="F25" s="77">
        <f>'Control Sheet'!E32</f>
        <v>7.9724218294814533E-2</v>
      </c>
      <c r="G25" s="77">
        <f>'Control Sheet'!F32</f>
        <v>6.9380972164520147E-2</v>
      </c>
      <c r="H25" s="77">
        <f>'Control Sheet'!G32</f>
        <v>7.474600870827286E-2</v>
      </c>
      <c r="I25" s="77">
        <f>'Control Sheet'!H35</f>
        <v>7.1999999999999995E-2</v>
      </c>
      <c r="J25" s="77">
        <f>'Control Sheet'!I35</f>
        <v>7.1999999999999995E-2</v>
      </c>
      <c r="K25" s="77">
        <f>'Control Sheet'!J35</f>
        <v>7.1999999999999995E-2</v>
      </c>
      <c r="L25" s="77">
        <f>'Control Sheet'!K35</f>
        <v>7.1999999999999995E-2</v>
      </c>
      <c r="M25" s="77">
        <f>'Control Sheet'!L35</f>
        <v>7.1999999999999995E-2</v>
      </c>
      <c r="N25" s="77">
        <f>'Control Sheet'!M35</f>
        <v>7.1999999999999995E-2</v>
      </c>
      <c r="O25" s="77">
        <f>'Control Sheet'!N35</f>
        <v>7.1999999999999995E-2</v>
      </c>
      <c r="P25" s="77">
        <f>'Control Sheet'!O35</f>
        <v>7.1999999999999995E-2</v>
      </c>
      <c r="Q25" s="77">
        <f>'Control Sheet'!P35</f>
        <v>7.1999999999999995E-2</v>
      </c>
      <c r="R25" s="77">
        <f>'Control Sheet'!Q35</f>
        <v>7.1999999999999995E-2</v>
      </c>
      <c r="S25" s="77">
        <f>'Control Sheet'!R35</f>
        <v>7.1999999999999995E-2</v>
      </c>
    </row>
    <row r="26" spans="1:19">
      <c r="B26" s="33" t="s">
        <v>198</v>
      </c>
      <c r="C26" s="33"/>
      <c r="D26" s="149">
        <f>D25*D11</f>
        <v>796</v>
      </c>
      <c r="E26" s="149">
        <f t="shared" ref="E26:N26" si="9">E25*E11</f>
        <v>843</v>
      </c>
      <c r="F26" s="149">
        <f t="shared" si="9"/>
        <v>821.00000000000011</v>
      </c>
      <c r="G26" s="149">
        <f t="shared" si="9"/>
        <v>1002</v>
      </c>
      <c r="H26" s="149">
        <f t="shared" si="9"/>
        <v>1236</v>
      </c>
      <c r="I26" s="149">
        <f t="shared" si="9"/>
        <v>1358.7035903999999</v>
      </c>
      <c r="J26" s="149">
        <f t="shared" si="9"/>
        <v>1562.5091289599995</v>
      </c>
      <c r="K26" s="149">
        <f t="shared" si="9"/>
        <v>1828.1356808831995</v>
      </c>
      <c r="L26" s="149">
        <f t="shared" si="9"/>
        <v>2071.8871050009593</v>
      </c>
      <c r="M26" s="149">
        <f t="shared" si="9"/>
        <v>2272.1695251510519</v>
      </c>
      <c r="N26" s="149">
        <f t="shared" si="9"/>
        <v>2408.4996966601157</v>
      </c>
      <c r="O26" s="149">
        <f t="shared" ref="O26:S26" si="10">O25*O11</f>
        <v>2540.9671799764219</v>
      </c>
      <c r="P26" s="149">
        <f t="shared" si="10"/>
        <v>2668.0155389752431</v>
      </c>
      <c r="Q26" s="149">
        <f t="shared" si="10"/>
        <v>2788.0762382291286</v>
      </c>
      <c r="R26" s="149">
        <f t="shared" si="10"/>
        <v>2906.5694783538665</v>
      </c>
      <c r="S26" s="149">
        <f t="shared" si="10"/>
        <v>3022.8322574880212</v>
      </c>
    </row>
    <row r="27" spans="1:19">
      <c r="B27" s="22"/>
      <c r="C27" s="22"/>
      <c r="D27" s="147"/>
      <c r="E27" s="147"/>
      <c r="F27" s="147"/>
      <c r="G27" s="147"/>
      <c r="H27" s="147"/>
      <c r="I27" s="190"/>
      <c r="J27" s="190"/>
      <c r="K27" s="190"/>
      <c r="L27" s="190"/>
      <c r="M27" s="190"/>
      <c r="N27" s="190"/>
      <c r="O27" s="190"/>
      <c r="P27" s="190"/>
      <c r="Q27" s="190"/>
      <c r="R27" s="190"/>
      <c r="S27" s="190"/>
    </row>
    <row r="28" spans="1:19">
      <c r="B28" s="23" t="s">
        <v>437</v>
      </c>
      <c r="C28" s="23"/>
      <c r="D28" s="17"/>
      <c r="E28" s="17"/>
      <c r="F28" s="17"/>
      <c r="G28" s="17"/>
      <c r="H28" s="17"/>
      <c r="I28" s="17"/>
      <c r="J28" s="17"/>
      <c r="K28" s="17"/>
      <c r="L28" s="17"/>
      <c r="M28" s="17"/>
      <c r="N28" s="17"/>
      <c r="O28" s="17"/>
      <c r="P28" s="17"/>
      <c r="Q28" s="17"/>
      <c r="R28" s="17"/>
      <c r="S28" s="17"/>
    </row>
    <row r="29" spans="1:19">
      <c r="B29" t="str">
        <f>'Control Sheet'!B37</f>
        <v>Selling &amp; Distribution Cost % Revenue</v>
      </c>
      <c r="D29" s="77">
        <f>'Control Sheet'!C38</f>
        <v>5.1015949311776269E-2</v>
      </c>
      <c r="E29" s="77">
        <f>'Control Sheet'!D38</f>
        <v>4.3004587155963302E-2</v>
      </c>
      <c r="F29" s="77">
        <f>'Control Sheet'!E38</f>
        <v>5.9720334045445717E-2</v>
      </c>
      <c r="G29" s="77">
        <f>'Control Sheet'!F38</f>
        <v>5.1308683007893645E-2</v>
      </c>
      <c r="H29" s="77">
        <f>'Control Sheet'!G38</f>
        <v>5.2431059506531208E-2</v>
      </c>
      <c r="I29" s="77">
        <f>'Control Sheet'!H41</f>
        <v>4.3999999999999997E-2</v>
      </c>
      <c r="J29" s="77">
        <f>'Control Sheet'!I41</f>
        <v>4.3999999999999997E-2</v>
      </c>
      <c r="K29" s="77">
        <f>'Control Sheet'!J41</f>
        <v>4.3999999999999997E-2</v>
      </c>
      <c r="L29" s="77">
        <f>'Control Sheet'!K41</f>
        <v>4.3999999999999997E-2</v>
      </c>
      <c r="M29" s="77">
        <f>'Control Sheet'!L41</f>
        <v>4.3999999999999997E-2</v>
      </c>
      <c r="N29" s="77">
        <f>'Control Sheet'!M41</f>
        <v>4.3999999999999997E-2</v>
      </c>
      <c r="O29" s="77">
        <f>'Control Sheet'!N41</f>
        <v>4.3999999999999997E-2</v>
      </c>
      <c r="P29" s="77">
        <f>'Control Sheet'!O41</f>
        <v>4.3999999999999997E-2</v>
      </c>
      <c r="Q29" s="77">
        <f>'Control Sheet'!P41</f>
        <v>4.3999999999999997E-2</v>
      </c>
      <c r="R29" s="77">
        <f>'Control Sheet'!Q41</f>
        <v>4.3999999999999997E-2</v>
      </c>
      <c r="S29" s="77">
        <f>'Control Sheet'!R41</f>
        <v>4.3999999999999997E-2</v>
      </c>
    </row>
    <row r="30" spans="1:19">
      <c r="B30" s="33" t="s">
        <v>437</v>
      </c>
      <c r="C30" s="33"/>
      <c r="D30" s="149">
        <f>D29*D11</f>
        <v>466.99999999999994</v>
      </c>
      <c r="E30" s="149">
        <f t="shared" ref="E30:N30" si="11">E29*E11</f>
        <v>375</v>
      </c>
      <c r="F30" s="149">
        <f t="shared" si="11"/>
        <v>615</v>
      </c>
      <c r="G30" s="149">
        <f t="shared" si="11"/>
        <v>741</v>
      </c>
      <c r="H30" s="149">
        <f t="shared" si="11"/>
        <v>867</v>
      </c>
      <c r="I30" s="149">
        <f t="shared" si="11"/>
        <v>830.31886079999992</v>
      </c>
      <c r="J30" s="149">
        <f t="shared" si="11"/>
        <v>954.86668991999977</v>
      </c>
      <c r="K30" s="149">
        <f t="shared" si="11"/>
        <v>1117.1940272063998</v>
      </c>
      <c r="L30" s="149">
        <f t="shared" si="11"/>
        <v>1266.1532308339197</v>
      </c>
      <c r="M30" s="149">
        <f t="shared" si="11"/>
        <v>1388.5480431478652</v>
      </c>
      <c r="N30" s="149">
        <f t="shared" si="11"/>
        <v>1471.8609257367373</v>
      </c>
      <c r="O30" s="149">
        <f t="shared" ref="O30:S30" si="12">O29*O11</f>
        <v>1552.8132766522579</v>
      </c>
      <c r="P30" s="149">
        <f t="shared" si="12"/>
        <v>1630.4539404848708</v>
      </c>
      <c r="Q30" s="149">
        <f t="shared" si="12"/>
        <v>1703.8243678066897</v>
      </c>
      <c r="R30" s="149">
        <f t="shared" si="12"/>
        <v>1776.236903438474</v>
      </c>
      <c r="S30" s="149">
        <f t="shared" si="12"/>
        <v>1847.2863795760129</v>
      </c>
    </row>
    <row r="31" spans="1:19">
      <c r="B31" s="22"/>
      <c r="C31" s="22"/>
      <c r="D31" s="147"/>
      <c r="E31" s="147"/>
      <c r="F31" s="147"/>
      <c r="G31" s="147"/>
      <c r="H31" s="147"/>
      <c r="I31" s="190"/>
      <c r="J31" s="190"/>
      <c r="K31" s="190"/>
      <c r="L31" s="190"/>
      <c r="M31" s="190"/>
      <c r="N31" s="190"/>
      <c r="O31" s="190"/>
      <c r="P31" s="190"/>
      <c r="Q31" s="190"/>
      <c r="R31" s="190"/>
      <c r="S31" s="190"/>
    </row>
    <row r="32" spans="1:19">
      <c r="B32" s="23" t="s">
        <v>193</v>
      </c>
      <c r="C32" s="23"/>
      <c r="D32" s="17"/>
      <c r="E32" s="17"/>
      <c r="F32" s="17"/>
      <c r="G32" s="17"/>
      <c r="H32" s="17"/>
      <c r="I32" s="17"/>
      <c r="J32" s="17"/>
      <c r="K32" s="17"/>
      <c r="L32" s="17"/>
      <c r="M32" s="17"/>
      <c r="N32" s="17"/>
      <c r="O32" s="17"/>
      <c r="P32" s="17"/>
      <c r="Q32" s="17"/>
      <c r="R32" s="17"/>
      <c r="S32" s="17"/>
    </row>
    <row r="33" spans="1:19">
      <c r="B33" t="str">
        <f>'Control Sheet'!B43</f>
        <v>Other Expenses % Revenue</v>
      </c>
      <c r="D33" s="77">
        <f>'Control Sheet'!C44</f>
        <v>2.9276818876993665E-2</v>
      </c>
      <c r="E33" s="77">
        <f>'Control Sheet'!D44</f>
        <v>2.9701834862385323E-2</v>
      </c>
      <c r="F33" s="77">
        <f>'Control Sheet'!E44</f>
        <v>3.3404544571761507E-2</v>
      </c>
      <c r="G33" s="77">
        <f>'Control Sheet'!F44</f>
        <v>2.8527904722337627E-2</v>
      </c>
      <c r="H33" s="77">
        <f>'Control Sheet'!G44</f>
        <v>2.6124818577648767E-2</v>
      </c>
      <c r="I33" s="77">
        <f>'Control Sheet'!H47</f>
        <v>2.8000000000000001E-2</v>
      </c>
      <c r="J33" s="77">
        <f>'Control Sheet'!I47</f>
        <v>2.8000000000000001E-2</v>
      </c>
      <c r="K33" s="77">
        <f>'Control Sheet'!J47</f>
        <v>2.8000000000000001E-2</v>
      </c>
      <c r="L33" s="77">
        <f>'Control Sheet'!K47</f>
        <v>2.8000000000000001E-2</v>
      </c>
      <c r="M33" s="77">
        <f>'Control Sheet'!L47</f>
        <v>2.8000000000000001E-2</v>
      </c>
      <c r="N33" s="77">
        <f>'Control Sheet'!M47</f>
        <v>2.8000000000000001E-2</v>
      </c>
      <c r="O33" s="77">
        <f>'Control Sheet'!N47</f>
        <v>2.8000000000000001E-2</v>
      </c>
      <c r="P33" s="77">
        <f>'Control Sheet'!O47</f>
        <v>2.8000000000000001E-2</v>
      </c>
      <c r="Q33" s="77">
        <f>'Control Sheet'!P47</f>
        <v>2.8000000000000001E-2</v>
      </c>
      <c r="R33" s="77">
        <f>'Control Sheet'!Q47</f>
        <v>2.8000000000000001E-2</v>
      </c>
      <c r="S33" s="77">
        <f>'Control Sheet'!R47</f>
        <v>2.8000000000000001E-2</v>
      </c>
    </row>
    <row r="34" spans="1:19">
      <c r="B34" s="33" t="s">
        <v>193</v>
      </c>
      <c r="C34" s="33"/>
      <c r="D34" s="149">
        <f>D33*D11</f>
        <v>268</v>
      </c>
      <c r="E34" s="149">
        <f t="shared" ref="E34:N34" si="13">E33*E11</f>
        <v>259</v>
      </c>
      <c r="F34" s="149">
        <f t="shared" si="13"/>
        <v>344</v>
      </c>
      <c r="G34" s="149">
        <f t="shared" si="13"/>
        <v>412</v>
      </c>
      <c r="H34" s="149">
        <f t="shared" si="13"/>
        <v>432</v>
      </c>
      <c r="I34" s="149">
        <f t="shared" si="13"/>
        <v>528.38472960000001</v>
      </c>
      <c r="J34" s="149">
        <f t="shared" si="13"/>
        <v>607.64243903999989</v>
      </c>
      <c r="K34" s="149">
        <f t="shared" si="13"/>
        <v>710.94165367679989</v>
      </c>
      <c r="L34" s="149">
        <f t="shared" si="13"/>
        <v>805.73387416703986</v>
      </c>
      <c r="M34" s="149">
        <f t="shared" si="13"/>
        <v>883.621482003187</v>
      </c>
      <c r="N34" s="149">
        <f t="shared" si="13"/>
        <v>936.63877092337827</v>
      </c>
      <c r="O34" s="149">
        <f t="shared" ref="O34:S34" si="14">O33*O11</f>
        <v>988.15390332416416</v>
      </c>
      <c r="P34" s="149">
        <f t="shared" si="14"/>
        <v>1037.5615984903725</v>
      </c>
      <c r="Q34" s="149">
        <f t="shared" si="14"/>
        <v>1084.251870422439</v>
      </c>
      <c r="R34" s="149">
        <f t="shared" si="14"/>
        <v>1130.3325749153926</v>
      </c>
      <c r="S34" s="149">
        <f t="shared" si="14"/>
        <v>1175.5458779120083</v>
      </c>
    </row>
    <row r="35" spans="1:19">
      <c r="B35" s="22"/>
      <c r="C35" s="22"/>
      <c r="D35" s="147"/>
      <c r="E35" s="147"/>
      <c r="F35" s="147"/>
      <c r="G35" s="147"/>
      <c r="H35" s="147"/>
      <c r="I35" s="190"/>
      <c r="J35" s="190"/>
      <c r="K35" s="190"/>
      <c r="L35" s="190"/>
      <c r="M35" s="190"/>
      <c r="N35" s="190"/>
      <c r="O35" s="190"/>
      <c r="P35" s="190"/>
      <c r="Q35" s="190"/>
      <c r="R35" s="190"/>
      <c r="S35" s="190"/>
    </row>
    <row r="36" spans="1:19">
      <c r="B36" s="23" t="s">
        <v>438</v>
      </c>
      <c r="C36" s="23"/>
      <c r="D36" s="17"/>
      <c r="E36" s="17"/>
      <c r="F36" s="17"/>
      <c r="G36" s="17"/>
      <c r="H36" s="17"/>
      <c r="I36" s="17"/>
      <c r="J36" s="17"/>
      <c r="K36" s="17"/>
      <c r="L36" s="17"/>
      <c r="M36" s="17"/>
      <c r="N36" s="17"/>
      <c r="O36" s="17"/>
      <c r="P36" s="17"/>
      <c r="Q36" s="17"/>
      <c r="R36" s="17"/>
      <c r="S36" s="17"/>
    </row>
    <row r="37" spans="1:19">
      <c r="B37" t="str">
        <f>'Control Sheet'!B49</f>
        <v>Other Misc. Costs % Revenue</v>
      </c>
      <c r="D37" s="77">
        <f>'Control Sheet'!C50</f>
        <v>4.8798339523705485E-2</v>
      </c>
      <c r="E37" s="77">
        <f>'Control Sheet'!D50</f>
        <v>4.0126146788990825E-2</v>
      </c>
      <c r="F37" s="77">
        <f>'Control Sheet'!E50</f>
        <v>3.7754903864828125E-2</v>
      </c>
      <c r="G37" s="77">
        <f>'Control Sheet'!F50</f>
        <v>4.3705857914416286E-2</v>
      </c>
      <c r="H37" s="77">
        <f>'Control Sheet'!G50</f>
        <v>4.2047653604257378E-2</v>
      </c>
      <c r="I37" s="77">
        <f>'Control Sheet'!H53</f>
        <v>0.04</v>
      </c>
      <c r="J37" s="77">
        <f>'Control Sheet'!I53</f>
        <v>0.04</v>
      </c>
      <c r="K37" s="77">
        <f>'Control Sheet'!J53</f>
        <v>0.04</v>
      </c>
      <c r="L37" s="77">
        <f>'Control Sheet'!K53</f>
        <v>0.04</v>
      </c>
      <c r="M37" s="77">
        <f>'Control Sheet'!L53</f>
        <v>0.04</v>
      </c>
      <c r="N37" s="77">
        <f>'Control Sheet'!M53</f>
        <v>0.04</v>
      </c>
      <c r="O37" s="77">
        <f>'Control Sheet'!N53</f>
        <v>0.04</v>
      </c>
      <c r="P37" s="77">
        <f>'Control Sheet'!O53</f>
        <v>0.04</v>
      </c>
      <c r="Q37" s="77">
        <f>'Control Sheet'!P53</f>
        <v>0.04</v>
      </c>
      <c r="R37" s="77">
        <f>'Control Sheet'!Q53</f>
        <v>0.04</v>
      </c>
      <c r="S37" s="77">
        <f>'Control Sheet'!R53</f>
        <v>0.04</v>
      </c>
    </row>
    <row r="38" spans="1:19">
      <c r="B38" s="33" t="s">
        <v>438</v>
      </c>
      <c r="C38" s="33"/>
      <c r="D38" s="149">
        <f>D37*D11</f>
        <v>446.7</v>
      </c>
      <c r="E38" s="149">
        <f t="shared" ref="E38:N38" si="15">E37*E11</f>
        <v>349.9</v>
      </c>
      <c r="F38" s="149">
        <f t="shared" si="15"/>
        <v>388.8</v>
      </c>
      <c r="G38" s="149">
        <f t="shared" si="15"/>
        <v>631.20000000000005</v>
      </c>
      <c r="H38" s="149">
        <f t="shared" si="15"/>
        <v>695.3</v>
      </c>
      <c r="I38" s="149">
        <f t="shared" si="15"/>
        <v>754.835328</v>
      </c>
      <c r="J38" s="149">
        <f t="shared" si="15"/>
        <v>868.06062719999989</v>
      </c>
      <c r="K38" s="149">
        <f t="shared" si="15"/>
        <v>1015.6309338239998</v>
      </c>
      <c r="L38" s="149">
        <f t="shared" si="15"/>
        <v>1151.0483916671999</v>
      </c>
      <c r="M38" s="149">
        <f t="shared" si="15"/>
        <v>1262.3164028616957</v>
      </c>
      <c r="N38" s="149">
        <f t="shared" si="15"/>
        <v>1338.0553870333977</v>
      </c>
      <c r="O38" s="149">
        <f t="shared" ref="O38:S38" si="16">O37*O11</f>
        <v>1411.6484333202345</v>
      </c>
      <c r="P38" s="149">
        <f t="shared" si="16"/>
        <v>1482.2308549862462</v>
      </c>
      <c r="Q38" s="149">
        <f t="shared" si="16"/>
        <v>1548.9312434606272</v>
      </c>
      <c r="R38" s="149">
        <f t="shared" si="16"/>
        <v>1614.7608213077037</v>
      </c>
      <c r="S38" s="149">
        <f t="shared" si="16"/>
        <v>1679.3512541600119</v>
      </c>
    </row>
    <row r="40" spans="1:19" ht="18">
      <c r="A40" t="s">
        <v>29</v>
      </c>
      <c r="B40" s="16" t="s">
        <v>573</v>
      </c>
      <c r="C40" s="16"/>
      <c r="D40" s="14"/>
      <c r="E40" s="14"/>
      <c r="F40" s="14"/>
      <c r="G40" s="14"/>
      <c r="H40" s="14"/>
      <c r="I40" s="14"/>
      <c r="J40" s="14"/>
      <c r="K40" s="14"/>
      <c r="L40" s="14"/>
      <c r="M40" s="14"/>
      <c r="N40" s="14"/>
      <c r="O40" s="14"/>
      <c r="P40" s="14"/>
      <c r="Q40" s="14"/>
      <c r="R40" s="14"/>
      <c r="S40" s="14"/>
    </row>
    <row r="42" spans="1:19">
      <c r="B42" s="23" t="s">
        <v>573</v>
      </c>
      <c r="C42" s="23"/>
      <c r="D42" s="17"/>
      <c r="E42" s="17"/>
      <c r="F42" s="17"/>
      <c r="G42" s="17"/>
      <c r="H42" s="17"/>
      <c r="I42" s="17"/>
      <c r="J42" s="17"/>
      <c r="K42" s="17"/>
      <c r="L42" s="17"/>
      <c r="M42" s="17"/>
      <c r="N42" s="17"/>
      <c r="O42" s="17"/>
      <c r="P42" s="17"/>
      <c r="Q42" s="17"/>
      <c r="R42" s="17"/>
      <c r="S42" s="17"/>
    </row>
    <row r="43" spans="1:19">
      <c r="B43" t="s">
        <v>575</v>
      </c>
      <c r="D43" s="77">
        <f>'Control Sheet'!C58</f>
        <v>6.2923312213240115E-2</v>
      </c>
      <c r="E43" s="77">
        <f>'Control Sheet'!D58</f>
        <v>5.5504587155963306E-2</v>
      </c>
      <c r="F43" s="77">
        <f>'Control Sheet'!E58</f>
        <v>4.865022334433871E-2</v>
      </c>
      <c r="G43" s="77">
        <f>'Control Sheet'!F58</f>
        <v>6.3010663343027282E-2</v>
      </c>
      <c r="H43" s="77">
        <f>'Control Sheet'!G58</f>
        <v>9.2283502660861147E-2</v>
      </c>
      <c r="I43" s="77">
        <f>'Control Sheet'!H61</f>
        <v>9.0550000000000005E-2</v>
      </c>
      <c r="J43" s="77">
        <f>'Control Sheet'!I61</f>
        <v>0.06</v>
      </c>
      <c r="K43" s="77">
        <f>'Control Sheet'!J61</f>
        <v>0.06</v>
      </c>
      <c r="L43" s="77">
        <f>'Control Sheet'!K61</f>
        <v>0.06</v>
      </c>
      <c r="M43" s="77">
        <f>'Control Sheet'!L61</f>
        <v>0.06</v>
      </c>
      <c r="N43" s="77">
        <f>'Control Sheet'!M61</f>
        <v>0.06</v>
      </c>
      <c r="O43" s="77">
        <f>'Control Sheet'!N61</f>
        <v>0.06</v>
      </c>
      <c r="P43" s="77">
        <f>'Control Sheet'!O61</f>
        <v>0.06</v>
      </c>
      <c r="Q43" s="77">
        <f>'Control Sheet'!P61</f>
        <v>0.06</v>
      </c>
      <c r="R43" s="77">
        <f>'Control Sheet'!Q61</f>
        <v>0.06</v>
      </c>
      <c r="S43" s="77">
        <f>'Control Sheet'!R61</f>
        <v>0.06</v>
      </c>
    </row>
    <row r="44" spans="1:19">
      <c r="B44" s="33" t="s">
        <v>573</v>
      </c>
      <c r="C44" s="33"/>
      <c r="D44" s="149">
        <f>D43*D11</f>
        <v>576</v>
      </c>
      <c r="E44" s="149">
        <f t="shared" ref="E44:N44" si="17">E43*E11</f>
        <v>484</v>
      </c>
      <c r="F44" s="149">
        <f t="shared" si="17"/>
        <v>501.00000000000006</v>
      </c>
      <c r="G44" s="149">
        <f t="shared" si="17"/>
        <v>910</v>
      </c>
      <c r="H44" s="149">
        <f t="shared" si="17"/>
        <v>1526</v>
      </c>
      <c r="I44" s="149">
        <f t="shared" si="17"/>
        <v>1708.75847376</v>
      </c>
      <c r="J44" s="149">
        <f t="shared" si="17"/>
        <v>1302.0909407999998</v>
      </c>
      <c r="K44" s="149">
        <f t="shared" si="17"/>
        <v>1523.4464007359998</v>
      </c>
      <c r="L44" s="149">
        <f t="shared" si="17"/>
        <v>1726.5725875007995</v>
      </c>
      <c r="M44" s="149">
        <f t="shared" si="17"/>
        <v>1893.4746042925435</v>
      </c>
      <c r="N44" s="149">
        <f t="shared" si="17"/>
        <v>2007.0830805500964</v>
      </c>
      <c r="O44" s="149">
        <f t="shared" ref="O44:S44" si="18">O43*O11</f>
        <v>2117.4726499803514</v>
      </c>
      <c r="P44" s="149">
        <f t="shared" si="18"/>
        <v>2223.3462824793692</v>
      </c>
      <c r="Q44" s="149">
        <f t="shared" si="18"/>
        <v>2323.3968651909408</v>
      </c>
      <c r="R44" s="149">
        <f t="shared" si="18"/>
        <v>2422.1412319615556</v>
      </c>
      <c r="S44" s="149">
        <f t="shared" si="18"/>
        <v>2519.0268812400177</v>
      </c>
    </row>
    <row r="46" spans="1:19" ht="18">
      <c r="A46" t="s">
        <v>29</v>
      </c>
      <c r="B46" s="16" t="s">
        <v>40</v>
      </c>
      <c r="C46" s="16"/>
      <c r="D46" s="14"/>
      <c r="E46" s="14"/>
      <c r="F46" s="14"/>
      <c r="G46" s="14"/>
      <c r="H46" s="14"/>
      <c r="I46" s="14"/>
      <c r="J46" s="14"/>
      <c r="K46" s="14"/>
      <c r="L46" s="14"/>
      <c r="M46" s="14"/>
      <c r="N46" s="14"/>
      <c r="O46" s="14"/>
      <c r="P46" s="14"/>
      <c r="Q46" s="14"/>
      <c r="R46" s="14"/>
      <c r="S46" s="14"/>
    </row>
    <row r="48" spans="1:19">
      <c r="B48" s="23" t="s">
        <v>504</v>
      </c>
      <c r="C48" s="23"/>
      <c r="D48" s="17"/>
      <c r="E48" s="17"/>
      <c r="F48" s="17"/>
      <c r="G48" s="17"/>
      <c r="H48" s="17"/>
      <c r="I48" s="17"/>
      <c r="J48" s="17"/>
      <c r="K48" s="17"/>
      <c r="L48" s="17"/>
      <c r="M48" s="17"/>
      <c r="N48" s="17"/>
      <c r="O48" s="17"/>
      <c r="P48" s="17"/>
      <c r="Q48" s="17"/>
      <c r="R48" s="17"/>
      <c r="S48" s="17"/>
    </row>
    <row r="49" spans="2:19">
      <c r="B49" t="s">
        <v>564</v>
      </c>
      <c r="D49" s="77">
        <f>'Control Sheet'!C66</f>
        <v>0.25934017915665281</v>
      </c>
      <c r="E49" s="77">
        <f>'Control Sheet'!D66</f>
        <v>0.27901376146788992</v>
      </c>
      <c r="F49" s="77">
        <f>'Control Sheet'!E66</f>
        <v>0.23538551174985434</v>
      </c>
      <c r="G49" s="77">
        <f>'Control Sheet'!F66</f>
        <v>0.18626229054147625</v>
      </c>
      <c r="H49" s="77">
        <f>'Control Sheet'!G66</f>
        <v>0.17622157716497339</v>
      </c>
      <c r="I49" s="77">
        <f>'Control Sheet'!H69</f>
        <v>0.20428296646974106</v>
      </c>
      <c r="J49" s="77">
        <f>'Control Sheet'!I69</f>
        <v>0.19601805475777206</v>
      </c>
      <c r="K49" s="77">
        <f>'Control Sheet'!J69</f>
        <v>0.22677761660056744</v>
      </c>
      <c r="L49" s="77">
        <f>'Control Sheet'!K69</f>
        <v>0.22059069538698231</v>
      </c>
      <c r="M49" s="77">
        <f>'Control Sheet'!L69</f>
        <v>0.21650055750262137</v>
      </c>
      <c r="N49" s="77">
        <f>'Control Sheet'!M69</f>
        <v>0.21410555158464814</v>
      </c>
      <c r="O49" s="77">
        <f>'Control Sheet'!N69</f>
        <v>0.21202458277756236</v>
      </c>
      <c r="P49" s="77">
        <f>'Control Sheet'!O69</f>
        <v>0.21022287818268293</v>
      </c>
      <c r="Q49" s="77">
        <f>'Control Sheet'!P69</f>
        <v>0.20867117087608819</v>
      </c>
      <c r="R49" s="77">
        <f>'Control Sheet'!Q69</f>
        <v>0.2072654141901244</v>
      </c>
      <c r="S49" s="77">
        <f>'Control Sheet'!R69</f>
        <v>0.20599323619377705</v>
      </c>
    </row>
    <row r="50" spans="2:19">
      <c r="B50" s="33" t="s">
        <v>504</v>
      </c>
      <c r="C50" s="33"/>
      <c r="D50" s="149">
        <f t="shared" ref="D50:N50" si="19">D49*D11</f>
        <v>2374</v>
      </c>
      <c r="E50" s="149">
        <f t="shared" si="19"/>
        <v>2433</v>
      </c>
      <c r="F50" s="149">
        <f t="shared" si="19"/>
        <v>2424</v>
      </c>
      <c r="G50" s="149">
        <f t="shared" si="19"/>
        <v>2690</v>
      </c>
      <c r="H50" s="149">
        <f t="shared" si="19"/>
        <v>2914</v>
      </c>
      <c r="I50" s="149">
        <f t="shared" si="19"/>
        <v>3855</v>
      </c>
      <c r="J50" s="149">
        <f t="shared" si="19"/>
        <v>4253.8888888888887</v>
      </c>
      <c r="K50" s="149">
        <f t="shared" si="19"/>
        <v>5758.059062960383</v>
      </c>
      <c r="L50" s="149">
        <f t="shared" si="19"/>
        <v>6347.7641285483796</v>
      </c>
      <c r="M50" s="149">
        <f t="shared" si="19"/>
        <v>6832.3051241065177</v>
      </c>
      <c r="N50" s="149">
        <f t="shared" si="19"/>
        <v>7162.1271672898856</v>
      </c>
      <c r="O50" s="149">
        <f t="shared" ref="O50:S50" si="20">O49*O11</f>
        <v>7482.6042525830571</v>
      </c>
      <c r="P50" s="149">
        <f t="shared" si="20"/>
        <v>7789.9709116596905</v>
      </c>
      <c r="Q50" s="149">
        <f t="shared" si="20"/>
        <v>8080.4324044871073</v>
      </c>
      <c r="R50" s="149">
        <f t="shared" si="20"/>
        <v>8367.1017611581665</v>
      </c>
      <c r="S50" s="149">
        <f t="shared" si="20"/>
        <v>8648.3749887624763</v>
      </c>
    </row>
    <row r="52" spans="2:19">
      <c r="B52" s="23" t="s">
        <v>545</v>
      </c>
      <c r="C52" s="23"/>
      <c r="D52" s="17"/>
      <c r="E52" s="17"/>
      <c r="F52" s="17"/>
      <c r="G52" s="17"/>
      <c r="H52" s="17"/>
      <c r="I52" s="17"/>
      <c r="J52" s="17"/>
      <c r="K52" s="17"/>
      <c r="L52" s="17"/>
      <c r="M52" s="17"/>
      <c r="N52" s="17"/>
      <c r="O52" s="17"/>
      <c r="P52" s="17"/>
      <c r="Q52" s="17"/>
      <c r="R52" s="17"/>
      <c r="S52" s="17"/>
    </row>
    <row r="53" spans="2:19">
      <c r="B53" t="s">
        <v>546</v>
      </c>
      <c r="D53" s="77">
        <f>'Control Sheet'!C72</f>
        <v>1.1373209772535805E-2</v>
      </c>
      <c r="E53" s="77">
        <f>'Control Sheet'!D72</f>
        <v>2.6304973284011508E-2</v>
      </c>
      <c r="F53" s="77">
        <f>'Control Sheet'!E72</f>
        <v>5.5280528052805283E-2</v>
      </c>
      <c r="G53" s="77">
        <f>'Control Sheet'!F72</f>
        <v>2.8996282527881039E-2</v>
      </c>
      <c r="H53" s="77">
        <f>'Control Sheet'!G72</f>
        <v>7.2752230610844196E-2</v>
      </c>
      <c r="I53" s="77">
        <f>'Control Sheet'!H75</f>
        <v>2.8534370946822308E-2</v>
      </c>
      <c r="J53" s="77">
        <f>'Control Sheet'!I75</f>
        <v>0</v>
      </c>
      <c r="K53" s="77">
        <f>'Control Sheet'!J75</f>
        <v>0</v>
      </c>
      <c r="L53" s="77">
        <f>'Control Sheet'!K75</f>
        <v>0</v>
      </c>
      <c r="M53" s="77">
        <f>'Control Sheet'!L75</f>
        <v>0</v>
      </c>
      <c r="N53" s="77">
        <f>'Control Sheet'!M75</f>
        <v>0</v>
      </c>
      <c r="O53" s="77">
        <f>'Control Sheet'!N75</f>
        <v>0</v>
      </c>
      <c r="P53" s="77">
        <f>'Control Sheet'!O75</f>
        <v>0</v>
      </c>
      <c r="Q53" s="77">
        <f>'Control Sheet'!P75</f>
        <v>0</v>
      </c>
      <c r="R53" s="77">
        <f>'Control Sheet'!Q75</f>
        <v>0</v>
      </c>
      <c r="S53" s="77">
        <f>'Control Sheet'!R75</f>
        <v>0</v>
      </c>
    </row>
    <row r="54" spans="2:19">
      <c r="B54" s="33" t="s">
        <v>545</v>
      </c>
      <c r="C54" s="33"/>
      <c r="D54" s="149">
        <f>D53*D50</f>
        <v>27</v>
      </c>
      <c r="E54" s="149">
        <f t="shared" ref="E54:N54" si="21">E53*E50</f>
        <v>64</v>
      </c>
      <c r="F54" s="149">
        <f t="shared" si="21"/>
        <v>134</v>
      </c>
      <c r="G54" s="149">
        <f t="shared" si="21"/>
        <v>78</v>
      </c>
      <c r="H54" s="149">
        <f t="shared" si="21"/>
        <v>212</v>
      </c>
      <c r="I54" s="149">
        <f t="shared" si="21"/>
        <v>110</v>
      </c>
      <c r="J54" s="149">
        <f t="shared" si="21"/>
        <v>0</v>
      </c>
      <c r="K54" s="149">
        <f t="shared" si="21"/>
        <v>0</v>
      </c>
      <c r="L54" s="149">
        <f t="shared" si="21"/>
        <v>0</v>
      </c>
      <c r="M54" s="149">
        <f t="shared" si="21"/>
        <v>0</v>
      </c>
      <c r="N54" s="149">
        <f t="shared" si="21"/>
        <v>0</v>
      </c>
      <c r="O54" s="149">
        <f t="shared" ref="O54:S54" si="22">O53*O50</f>
        <v>0</v>
      </c>
      <c r="P54" s="149">
        <f t="shared" si="22"/>
        <v>0</v>
      </c>
      <c r="Q54" s="149">
        <f t="shared" si="22"/>
        <v>0</v>
      </c>
      <c r="R54" s="149">
        <f t="shared" si="22"/>
        <v>0</v>
      </c>
      <c r="S54" s="149">
        <f t="shared" si="22"/>
        <v>0</v>
      </c>
    </row>
    <row r="56" spans="2:19">
      <c r="B56" s="23" t="s">
        <v>536</v>
      </c>
      <c r="C56" s="23"/>
      <c r="D56" s="17"/>
      <c r="E56" s="17"/>
      <c r="F56" s="17"/>
      <c r="G56" s="17"/>
      <c r="H56" s="17"/>
      <c r="I56" s="17"/>
      <c r="J56" s="17"/>
      <c r="K56" s="17"/>
      <c r="L56" s="17"/>
      <c r="M56" s="17"/>
      <c r="N56" s="17"/>
      <c r="O56" s="17"/>
      <c r="P56" s="17"/>
      <c r="Q56" s="17"/>
      <c r="R56" s="17"/>
      <c r="S56" s="17"/>
    </row>
    <row r="57" spans="2:19">
      <c r="B57" t="s">
        <v>535</v>
      </c>
      <c r="D57" s="77">
        <f>'Control Sheet'!C78</f>
        <v>3.163644308499021E-2</v>
      </c>
      <c r="E57" s="77">
        <f>'Control Sheet'!D78</f>
        <v>3.1651376146788993E-2</v>
      </c>
      <c r="F57" s="77">
        <f>'Control Sheet'!E78</f>
        <v>4.4367838415226221E-2</v>
      </c>
      <c r="G57" s="77">
        <f>'Control Sheet'!F78</f>
        <v>3.0619027835479901E-2</v>
      </c>
      <c r="H57" s="77">
        <f>'Control Sheet'!G78</f>
        <v>0.13575229801644892</v>
      </c>
      <c r="I57" s="77">
        <f>'Control Sheet'!H81</f>
        <v>3.2000000000000001E-2</v>
      </c>
      <c r="J57" s="77">
        <f>'Control Sheet'!I81</f>
        <v>3.2000000000000001E-2</v>
      </c>
      <c r="K57" s="77">
        <f>'Control Sheet'!J81</f>
        <v>3.2000000000000001E-2</v>
      </c>
      <c r="L57" s="77">
        <f>'Control Sheet'!K81</f>
        <v>3.2000000000000001E-2</v>
      </c>
      <c r="M57" s="77">
        <f>'Control Sheet'!L81</f>
        <v>3.2000000000000001E-2</v>
      </c>
      <c r="N57" s="77">
        <f>'Control Sheet'!M81</f>
        <v>3.2000000000000001E-2</v>
      </c>
      <c r="O57" s="77">
        <f>'Control Sheet'!N81</f>
        <v>3.2000000000000001E-2</v>
      </c>
      <c r="P57" s="77">
        <f>'Control Sheet'!O81</f>
        <v>3.2000000000000001E-2</v>
      </c>
      <c r="Q57" s="77">
        <f>'Control Sheet'!P81</f>
        <v>3.2000000000000001E-2</v>
      </c>
      <c r="R57" s="77">
        <f>'Control Sheet'!Q81</f>
        <v>3.2000000000000001E-2</v>
      </c>
      <c r="S57" s="77">
        <f>'Control Sheet'!R81</f>
        <v>3.2000000000000001E-2</v>
      </c>
    </row>
    <row r="58" spans="2:19">
      <c r="B58" s="33" t="s">
        <v>537</v>
      </c>
      <c r="C58" s="33"/>
      <c r="D58" s="149">
        <f t="shared" ref="D58:N58" si="23">D57*D11</f>
        <v>289.60000000000036</v>
      </c>
      <c r="E58" s="149">
        <f t="shared" si="23"/>
        <v>276</v>
      </c>
      <c r="F58" s="149">
        <f t="shared" si="23"/>
        <v>456.89999999999964</v>
      </c>
      <c r="G58" s="149">
        <f t="shared" si="23"/>
        <v>442.20000000000073</v>
      </c>
      <c r="H58" s="149">
        <f t="shared" si="23"/>
        <v>2244.7999999999993</v>
      </c>
      <c r="I58" s="149">
        <f t="shared" si="23"/>
        <v>603.86826240000005</v>
      </c>
      <c r="J58" s="149">
        <f t="shared" si="23"/>
        <v>694.44850175999989</v>
      </c>
      <c r="K58" s="149">
        <f t="shared" si="23"/>
        <v>812.50474705919987</v>
      </c>
      <c r="L58" s="149">
        <f t="shared" si="23"/>
        <v>920.83871333375987</v>
      </c>
      <c r="M58" s="149">
        <f t="shared" si="23"/>
        <v>1009.8531222893565</v>
      </c>
      <c r="N58" s="149">
        <f t="shared" si="23"/>
        <v>1070.444309626718</v>
      </c>
      <c r="O58" s="149">
        <f t="shared" ref="O58:S58" si="24">O57*O11</f>
        <v>1129.3187466561876</v>
      </c>
      <c r="P58" s="149">
        <f t="shared" si="24"/>
        <v>1185.7846839889971</v>
      </c>
      <c r="Q58" s="149">
        <f t="shared" si="24"/>
        <v>1239.1449947685016</v>
      </c>
      <c r="R58" s="149">
        <f t="shared" si="24"/>
        <v>1291.808657046163</v>
      </c>
      <c r="S58" s="149">
        <f t="shared" si="24"/>
        <v>1343.4810033280096</v>
      </c>
    </row>
    <row r="60" spans="2:19">
      <c r="B60" s="23" t="s">
        <v>539</v>
      </c>
      <c r="C60" s="23"/>
      <c r="D60" s="17"/>
      <c r="E60" s="17"/>
      <c r="F60" s="17"/>
      <c r="G60" s="17"/>
      <c r="H60" s="17"/>
      <c r="I60" s="17"/>
      <c r="J60" s="17"/>
      <c r="K60" s="17"/>
      <c r="L60" s="17"/>
      <c r="M60" s="17"/>
      <c r="N60" s="17"/>
      <c r="O60" s="17"/>
      <c r="P60" s="17"/>
      <c r="Q60" s="17"/>
      <c r="R60" s="17"/>
      <c r="S60" s="17"/>
    </row>
    <row r="61" spans="2:19">
      <c r="B61" t="s">
        <v>540</v>
      </c>
      <c r="D61" s="77">
        <f ca="1">'Control Sheet'!C84</f>
        <v>0.35350666375355039</v>
      </c>
      <c r="E61" s="77">
        <f ca="1">'Control Sheet'!D84</f>
        <v>0.32408256880733943</v>
      </c>
      <c r="F61" s="77">
        <f ca="1">'Control Sheet'!E84</f>
        <v>0.70848708487084866</v>
      </c>
      <c r="G61" s="77">
        <f ca="1">'Control Sheet'!F84</f>
        <v>0.83790333748788259</v>
      </c>
      <c r="H61" s="77">
        <f ca="1">'Control Sheet'!G84</f>
        <v>0.8070875665215288</v>
      </c>
      <c r="I61" s="77">
        <f>'Control Sheet'!H87</f>
        <v>0.55200000000000005</v>
      </c>
      <c r="J61" s="77">
        <f>'Control Sheet'!I87</f>
        <v>0.55200000000000005</v>
      </c>
      <c r="K61" s="77">
        <f>'Control Sheet'!J87</f>
        <v>0.55200000000000005</v>
      </c>
      <c r="L61" s="77">
        <f>'Control Sheet'!K87</f>
        <v>0.55200000000000005</v>
      </c>
      <c r="M61" s="77">
        <f>'Control Sheet'!L87</f>
        <v>0.55200000000000005</v>
      </c>
      <c r="N61" s="77">
        <f>'Control Sheet'!M87</f>
        <v>0.55200000000000005</v>
      </c>
      <c r="O61" s="77">
        <f>'Control Sheet'!N87</f>
        <v>0.55200000000000005</v>
      </c>
      <c r="P61" s="77">
        <f>'Control Sheet'!O87</f>
        <v>0.55200000000000005</v>
      </c>
      <c r="Q61" s="77">
        <f>'Control Sheet'!P87</f>
        <v>0.55200000000000005</v>
      </c>
      <c r="R61" s="77">
        <f>'Control Sheet'!Q87</f>
        <v>0.55200000000000005</v>
      </c>
      <c r="S61" s="77">
        <f>'Control Sheet'!R87</f>
        <v>0.55200000000000005</v>
      </c>
    </row>
    <row r="62" spans="2:19">
      <c r="B62" s="33" t="s">
        <v>539</v>
      </c>
      <c r="C62" s="33"/>
      <c r="D62" s="149">
        <f t="shared" ref="D62:N62" ca="1" si="25">D61*D11</f>
        <v>3236.0000000000005</v>
      </c>
      <c r="E62" s="149">
        <f t="shared" ca="1" si="25"/>
        <v>2826</v>
      </c>
      <c r="F62" s="149">
        <f t="shared" ca="1" si="25"/>
        <v>7295.9999999999991</v>
      </c>
      <c r="G62" s="149">
        <f t="shared" ca="1" si="25"/>
        <v>12101</v>
      </c>
      <c r="H62" s="149">
        <f t="shared" ca="1" si="25"/>
        <v>13346</v>
      </c>
      <c r="I62" s="149">
        <f t="shared" si="25"/>
        <v>10416.727526400002</v>
      </c>
      <c r="J62" s="149">
        <f t="shared" si="25"/>
        <v>11979.236655359999</v>
      </c>
      <c r="K62" s="149">
        <f t="shared" si="25"/>
        <v>14015.706886771199</v>
      </c>
      <c r="L62" s="149">
        <f t="shared" si="25"/>
        <v>15884.467805007358</v>
      </c>
      <c r="M62" s="149">
        <f t="shared" si="25"/>
        <v>17419.966359491402</v>
      </c>
      <c r="N62" s="149">
        <f t="shared" si="25"/>
        <v>18465.164341060889</v>
      </c>
      <c r="O62" s="149">
        <f t="shared" ref="O62:S62" si="26">O61*O11</f>
        <v>19480.748379819237</v>
      </c>
      <c r="P62" s="149">
        <f t="shared" si="26"/>
        <v>20454.785798810201</v>
      </c>
      <c r="Q62" s="149">
        <f t="shared" si="26"/>
        <v>21375.251159756655</v>
      </c>
      <c r="R62" s="149">
        <f t="shared" si="26"/>
        <v>22283.699334046312</v>
      </c>
      <c r="S62" s="149">
        <f t="shared" si="26"/>
        <v>23175.047307408167</v>
      </c>
    </row>
    <row r="64" spans="2:19">
      <c r="B64" s="23" t="s">
        <v>541</v>
      </c>
      <c r="C64" s="23"/>
      <c r="D64" s="17"/>
      <c r="E64" s="17"/>
      <c r="F64" s="17"/>
      <c r="G64" s="17"/>
      <c r="H64" s="17"/>
      <c r="I64" s="17"/>
      <c r="J64" s="17"/>
      <c r="K64" s="17"/>
      <c r="L64" s="17"/>
      <c r="M64" s="17"/>
      <c r="N64" s="17"/>
      <c r="O64" s="17"/>
      <c r="P64" s="17"/>
      <c r="Q64" s="17"/>
      <c r="R64" s="17"/>
      <c r="S64" s="17"/>
    </row>
    <row r="65" spans="1:19">
      <c r="B65" t="s">
        <v>542</v>
      </c>
      <c r="D65" s="77">
        <f>'Control Sheet'!C90</f>
        <v>1.6167795499235308E-2</v>
      </c>
      <c r="E65" s="77">
        <f>'Control Sheet'!D90</f>
        <v>1.743119266055046E-2</v>
      </c>
      <c r="F65" s="77">
        <f>'Control Sheet'!E90</f>
        <v>2.0392309186249756E-2</v>
      </c>
      <c r="G65" s="77">
        <f>'Control Sheet'!F90</f>
        <v>1.4125467386788533E-2</v>
      </c>
      <c r="H65" s="77">
        <f>'Control Sheet'!G90</f>
        <v>1.4937106918238994E-2</v>
      </c>
      <c r="I65" s="77">
        <f>'Control Sheet'!H93</f>
        <v>1.6E-2</v>
      </c>
      <c r="J65" s="77">
        <f>'Control Sheet'!I93</f>
        <v>1.6E-2</v>
      </c>
      <c r="K65" s="77">
        <f>'Control Sheet'!J93</f>
        <v>1.6E-2</v>
      </c>
      <c r="L65" s="77">
        <f>'Control Sheet'!K93</f>
        <v>1.6E-2</v>
      </c>
      <c r="M65" s="77">
        <f>'Control Sheet'!L93</f>
        <v>1.6E-2</v>
      </c>
      <c r="N65" s="77">
        <f>'Control Sheet'!M93</f>
        <v>1.6E-2</v>
      </c>
      <c r="O65" s="77">
        <f>'Control Sheet'!N93</f>
        <v>1.6E-2</v>
      </c>
      <c r="P65" s="77">
        <f>'Control Sheet'!O93</f>
        <v>1.6E-2</v>
      </c>
      <c r="Q65" s="77">
        <f>'Control Sheet'!P93</f>
        <v>1.6E-2</v>
      </c>
      <c r="R65" s="77">
        <f>'Control Sheet'!Q93</f>
        <v>1.6E-2</v>
      </c>
      <c r="S65" s="77">
        <f>'Control Sheet'!R93</f>
        <v>1.6E-2</v>
      </c>
    </row>
    <row r="66" spans="1:19">
      <c r="B66" s="33" t="s">
        <v>541</v>
      </c>
      <c r="C66" s="33"/>
      <c r="D66" s="149">
        <f t="shared" ref="D66:N66" si="27">D65*D11</f>
        <v>148</v>
      </c>
      <c r="E66" s="149">
        <f t="shared" si="27"/>
        <v>152</v>
      </c>
      <c r="F66" s="149">
        <f t="shared" si="27"/>
        <v>210</v>
      </c>
      <c r="G66" s="149">
        <f t="shared" si="27"/>
        <v>204</v>
      </c>
      <c r="H66" s="149">
        <f t="shared" si="27"/>
        <v>247</v>
      </c>
      <c r="I66" s="149">
        <f t="shared" si="27"/>
        <v>301.93413120000002</v>
      </c>
      <c r="J66" s="149">
        <f t="shared" si="27"/>
        <v>347.22425087999994</v>
      </c>
      <c r="K66" s="149">
        <f t="shared" si="27"/>
        <v>406.25237352959994</v>
      </c>
      <c r="L66" s="149">
        <f t="shared" si="27"/>
        <v>460.41935666687993</v>
      </c>
      <c r="M66" s="149">
        <f t="shared" si="27"/>
        <v>504.92656114467826</v>
      </c>
      <c r="N66" s="149">
        <f t="shared" si="27"/>
        <v>535.222154813359</v>
      </c>
      <c r="O66" s="149">
        <f t="shared" ref="O66:S66" si="28">O65*O11</f>
        <v>564.65937332809381</v>
      </c>
      <c r="P66" s="149">
        <f t="shared" si="28"/>
        <v>592.89234199449857</v>
      </c>
      <c r="Q66" s="149">
        <f t="shared" si="28"/>
        <v>619.57249738425082</v>
      </c>
      <c r="R66" s="149">
        <f t="shared" si="28"/>
        <v>645.90432852308152</v>
      </c>
      <c r="S66" s="149">
        <f t="shared" si="28"/>
        <v>671.7405016640048</v>
      </c>
    </row>
    <row r="68" spans="1:19" ht="18">
      <c r="A68" t="s">
        <v>29</v>
      </c>
      <c r="B68" s="16" t="s">
        <v>41</v>
      </c>
      <c r="C68" s="16"/>
      <c r="D68" s="14"/>
      <c r="E68" s="14"/>
      <c r="F68" s="14"/>
      <c r="G68" s="14"/>
      <c r="H68" s="14"/>
      <c r="I68" s="14"/>
      <c r="J68" s="14"/>
      <c r="K68" s="14"/>
      <c r="L68" s="14"/>
      <c r="M68" s="14"/>
      <c r="N68" s="14"/>
      <c r="O68" s="14"/>
      <c r="P68" s="14"/>
      <c r="Q68" s="14"/>
      <c r="R68" s="14"/>
      <c r="S68" s="14"/>
    </row>
    <row r="70" spans="1:19">
      <c r="B70" t="s">
        <v>559</v>
      </c>
      <c r="D70" s="147">
        <f>Assumptions!G554</f>
        <v>2374</v>
      </c>
      <c r="E70" s="147">
        <f>Assumptions!H554</f>
        <v>2433</v>
      </c>
      <c r="F70" s="147">
        <f>Assumptions!I554</f>
        <v>2424</v>
      </c>
      <c r="G70" s="147">
        <f>Assumptions!J554</f>
        <v>2690</v>
      </c>
      <c r="H70" s="147">
        <f>Assumptions!K554</f>
        <v>2914</v>
      </c>
      <c r="I70" s="147">
        <f>Assumptions!L554</f>
        <v>3855</v>
      </c>
      <c r="J70" s="147">
        <f>Assumptions!M554</f>
        <v>4253.8888888888887</v>
      </c>
      <c r="K70" s="147">
        <f>Assumptions!N554</f>
        <v>5758.059062960383</v>
      </c>
      <c r="L70" s="147">
        <f>Assumptions!O554</f>
        <v>6347.7641285483796</v>
      </c>
      <c r="M70" s="147">
        <f>Assumptions!P554</f>
        <v>6832.3051241065177</v>
      </c>
      <c r="N70" s="147">
        <f>Assumptions!Q554</f>
        <v>7162.1271672898856</v>
      </c>
      <c r="O70" s="147">
        <f>Assumptions!R554</f>
        <v>7482.6042525830571</v>
      </c>
      <c r="P70" s="147">
        <f>Assumptions!S554</f>
        <v>7789.9709116596905</v>
      </c>
      <c r="Q70" s="147">
        <f>Assumptions!T554</f>
        <v>8080.4324044871073</v>
      </c>
      <c r="R70" s="147">
        <f>Assumptions!U554</f>
        <v>8367.1017611581665</v>
      </c>
      <c r="S70" s="147">
        <f>Assumptions!V554</f>
        <v>8648.3749887624763</v>
      </c>
    </row>
    <row r="71" spans="1:19">
      <c r="B71" s="42" t="s">
        <v>560</v>
      </c>
      <c r="C71" s="298">
        <v>9</v>
      </c>
      <c r="D71" s="147">
        <f>Assumptions!G566</f>
        <v>818</v>
      </c>
      <c r="E71" s="147">
        <f>Assumptions!H566</f>
        <v>474</v>
      </c>
      <c r="F71" s="147">
        <f>Assumptions!I566</f>
        <v>356</v>
      </c>
      <c r="G71" s="147">
        <f>Assumptions!J566</f>
        <v>737</v>
      </c>
      <c r="H71" s="147">
        <f>Assumptions!K566</f>
        <v>608</v>
      </c>
      <c r="I71" s="147">
        <f>Assumptions!C561</f>
        <v>1028</v>
      </c>
      <c r="J71" s="147">
        <f>Assumptions!D561</f>
        <v>1250</v>
      </c>
      <c r="K71" s="147">
        <f>Assumptions!E561</f>
        <v>1016.055699502621</v>
      </c>
      <c r="L71" s="147">
        <f>Assumptions!F561</f>
        <v>932.38052424946409</v>
      </c>
      <c r="M71" s="147">
        <f>Assumptions!G561</f>
        <v>766.10599742497607</v>
      </c>
      <c r="N71" s="147">
        <f>Assumptions!H561</f>
        <v>521.48042721272634</v>
      </c>
      <c r="O71" s="147">
        <f>Assumptions!I561</f>
        <v>506.70514844169844</v>
      </c>
      <c r="P71" s="147">
        <f>Assumptions!J561</f>
        <v>485.97630145999284</v>
      </c>
      <c r="Q71" s="147">
        <f>Assumptions!K561</f>
        <v>459.24760487969144</v>
      </c>
      <c r="R71" s="147">
        <f>Assumptions!L561</f>
        <v>453.25187226042954</v>
      </c>
      <c r="S71" s="147">
        <f>Assumptions!M561</f>
        <v>444.72007231199842</v>
      </c>
    </row>
    <row r="72" spans="1:19">
      <c r="B72" s="42" t="s">
        <v>42</v>
      </c>
      <c r="C72" s="42"/>
      <c r="D72" s="147">
        <f>'P&amp;L'!G39</f>
        <v>382</v>
      </c>
      <c r="E72" s="147">
        <f>'P&amp;L'!H39</f>
        <v>451</v>
      </c>
      <c r="F72" s="147">
        <f>'P&amp;L'!I39</f>
        <v>452</v>
      </c>
      <c r="G72" s="147">
        <f>'P&amp;L'!J39</f>
        <v>526</v>
      </c>
      <c r="H72" s="147">
        <f>'P&amp;L'!K39</f>
        <v>598</v>
      </c>
      <c r="I72" s="117">
        <f>H72+(I71/$C$71)</f>
        <v>712.22222222222217</v>
      </c>
      <c r="J72" s="117">
        <f t="shared" ref="J72:N72" si="29">I72+(J71/$C$71)</f>
        <v>851.11111111111109</v>
      </c>
      <c r="K72" s="117">
        <f t="shared" si="29"/>
        <v>964.00618883362449</v>
      </c>
      <c r="L72" s="117">
        <f t="shared" si="29"/>
        <v>1067.6040248613426</v>
      </c>
      <c r="M72" s="117">
        <f t="shared" si="29"/>
        <v>1152.7269134641178</v>
      </c>
      <c r="N72" s="117">
        <f t="shared" si="29"/>
        <v>1210.6691831544208</v>
      </c>
      <c r="O72" s="117">
        <f t="shared" ref="O72" si="30">N72+(O71/$C$71)</f>
        <v>1266.9697552034984</v>
      </c>
      <c r="P72" s="117">
        <f t="shared" ref="P72" si="31">O72+(P71/$C$71)</f>
        <v>1320.9671220323864</v>
      </c>
      <c r="Q72" s="117">
        <f t="shared" ref="Q72" si="32">P72+(Q71/$C$71)</f>
        <v>1371.9946336856856</v>
      </c>
      <c r="R72" s="117">
        <f t="shared" ref="R72" si="33">Q72+(R71/$C$71)</f>
        <v>1422.3559528257333</v>
      </c>
      <c r="S72" s="117">
        <f t="shared" ref="S72" si="34">R72+(S71/$C$71)</f>
        <v>1471.7692941937332</v>
      </c>
    </row>
    <row r="73" spans="1:19">
      <c r="B73" s="24" t="s">
        <v>570</v>
      </c>
      <c r="C73" s="24"/>
      <c r="D73" s="297">
        <f t="shared" ref="D73:G73" si="35">D70+D71-D72</f>
        <v>2810</v>
      </c>
      <c r="E73" s="297">
        <f t="shared" si="35"/>
        <v>2456</v>
      </c>
      <c r="F73" s="297">
        <f t="shared" si="35"/>
        <v>2328</v>
      </c>
      <c r="G73" s="297">
        <f t="shared" si="35"/>
        <v>2901</v>
      </c>
      <c r="H73" s="297">
        <f t="shared" ref="H73:M73" si="36">H70+H71-H72</f>
        <v>2924</v>
      </c>
      <c r="I73" s="172">
        <f t="shared" si="36"/>
        <v>4170.7777777777774</v>
      </c>
      <c r="J73" s="172">
        <f t="shared" si="36"/>
        <v>4652.7777777777774</v>
      </c>
      <c r="K73" s="172">
        <f t="shared" si="36"/>
        <v>5810.108573629379</v>
      </c>
      <c r="L73" s="172">
        <f t="shared" si="36"/>
        <v>6212.5406279365016</v>
      </c>
      <c r="M73" s="172">
        <f t="shared" si="36"/>
        <v>6445.6842080673759</v>
      </c>
      <c r="N73" s="172">
        <f t="shared" ref="N73:S73" si="37">N70+N71-N72</f>
        <v>6472.9384113481919</v>
      </c>
      <c r="O73" s="172">
        <f t="shared" si="37"/>
        <v>6722.3396458212574</v>
      </c>
      <c r="P73" s="172">
        <f t="shared" si="37"/>
        <v>6954.9800910872973</v>
      </c>
      <c r="Q73" s="172">
        <f t="shared" si="37"/>
        <v>7167.6853756811133</v>
      </c>
      <c r="R73" s="172">
        <f t="shared" si="37"/>
        <v>7397.9976805928618</v>
      </c>
      <c r="S73" s="172">
        <f t="shared" si="37"/>
        <v>7621.3257668807419</v>
      </c>
    </row>
    <row r="74" spans="1:19">
      <c r="B74" s="22"/>
      <c r="C74" s="22"/>
      <c r="D74" s="22"/>
      <c r="E74" s="22"/>
      <c r="F74" s="22"/>
      <c r="G74" s="22"/>
      <c r="H74" s="44"/>
      <c r="I74" s="35"/>
      <c r="J74" s="35"/>
      <c r="K74" s="35"/>
      <c r="L74" s="35"/>
      <c r="M74" s="35"/>
    </row>
    <row r="75" spans="1:19">
      <c r="B75" s="22" t="s">
        <v>561</v>
      </c>
      <c r="C75" s="22"/>
      <c r="D75" s="81">
        <f t="shared" ref="D75:N75" si="38">D72/D11</f>
        <v>4.1730391085864106E-2</v>
      </c>
      <c r="E75" s="81">
        <f t="shared" si="38"/>
        <v>5.1720183486238532E-2</v>
      </c>
      <c r="F75" s="81">
        <f t="shared" si="38"/>
        <v>4.3892017867547095E-2</v>
      </c>
      <c r="G75" s="81">
        <f t="shared" si="38"/>
        <v>3.6421548262013569E-2</v>
      </c>
      <c r="H75" s="81">
        <f t="shared" si="38"/>
        <v>3.6163522012578615E-2</v>
      </c>
      <c r="I75" s="81">
        <f t="shared" si="38"/>
        <v>3.7741859491887596E-2</v>
      </c>
      <c r="J75" s="81">
        <f t="shared" si="38"/>
        <v>3.9218970861813612E-2</v>
      </c>
      <c r="K75" s="81">
        <f t="shared" si="38"/>
        <v>3.7966791153317844E-2</v>
      </c>
      <c r="L75" s="81">
        <f t="shared" si="38"/>
        <v>3.7100230801417659E-2</v>
      </c>
      <c r="M75" s="81">
        <f t="shared" si="38"/>
        <v>3.6527352757228335E-2</v>
      </c>
      <c r="N75" s="81">
        <f t="shared" si="38"/>
        <v>3.6191900421658783E-2</v>
      </c>
      <c r="O75" s="81">
        <f t="shared" ref="O75:S75" si="39">O72/O11</f>
        <v>3.5900433147467235E-2</v>
      </c>
      <c r="P75" s="81">
        <f t="shared" si="39"/>
        <v>3.5648080529119566E-2</v>
      </c>
      <c r="Q75" s="81">
        <f t="shared" si="39"/>
        <v>3.5430743345853645E-2</v>
      </c>
      <c r="R75" s="81">
        <f t="shared" si="39"/>
        <v>3.5233848482250078E-2</v>
      </c>
      <c r="S75" s="81">
        <f t="shared" si="39"/>
        <v>3.5055663085323784E-2</v>
      </c>
    </row>
    <row r="76" spans="1:19">
      <c r="B76" s="22" t="s">
        <v>562</v>
      </c>
      <c r="C76" s="22"/>
      <c r="D76" s="81">
        <f>D72/D70</f>
        <v>0.16090985678180286</v>
      </c>
      <c r="E76" s="81">
        <f t="shared" ref="E76:M76" si="40">E72/E70</f>
        <v>0.1853678586107686</v>
      </c>
      <c r="F76" s="81">
        <f t="shared" si="40"/>
        <v>0.18646864686468648</v>
      </c>
      <c r="G76" s="81">
        <f t="shared" si="40"/>
        <v>0.19553903345724907</v>
      </c>
      <c r="H76" s="81">
        <f t="shared" si="40"/>
        <v>0.20521619766643789</v>
      </c>
      <c r="I76" s="81">
        <f t="shared" si="40"/>
        <v>0.18475284623144544</v>
      </c>
      <c r="J76" s="81">
        <f t="shared" si="40"/>
        <v>0.20007835967088938</v>
      </c>
      <c r="K76" s="81">
        <f t="shared" si="40"/>
        <v>0.16741860031182126</v>
      </c>
      <c r="L76" s="81">
        <f t="shared" si="40"/>
        <v>0.16818583728716532</v>
      </c>
      <c r="M76" s="81">
        <f t="shared" si="40"/>
        <v>0.16871713024011989</v>
      </c>
      <c r="N76" s="81">
        <f t="shared" ref="N76:S76" si="41">N72/N70</f>
        <v>0.16903765527700512</v>
      </c>
      <c r="O76" s="81">
        <f t="shared" si="41"/>
        <v>0.16932203180010888</v>
      </c>
      <c r="P76" s="81">
        <f t="shared" si="41"/>
        <v>0.16957279263459382</v>
      </c>
      <c r="Q76" s="81">
        <f t="shared" si="41"/>
        <v>0.16979222954996934</v>
      </c>
      <c r="R76" s="81">
        <f t="shared" si="41"/>
        <v>0.16999386327875282</v>
      </c>
      <c r="S76" s="81">
        <f t="shared" si="41"/>
        <v>0.17017870942299801</v>
      </c>
    </row>
    <row r="77" spans="1:19">
      <c r="B77" s="22"/>
      <c r="C77" s="22"/>
      <c r="D77" s="22"/>
      <c r="E77" s="22"/>
      <c r="F77" s="22"/>
      <c r="G77" s="22"/>
      <c r="H77" s="43"/>
      <c r="I77" s="37"/>
      <c r="J77" s="37"/>
      <c r="K77" s="37"/>
      <c r="L77" s="37"/>
      <c r="M77" s="37"/>
    </row>
    <row r="78" spans="1:19" ht="18">
      <c r="A78" t="s">
        <v>29</v>
      </c>
      <c r="B78" s="16" t="s">
        <v>628</v>
      </c>
      <c r="C78" s="16"/>
      <c r="D78" s="14"/>
      <c r="E78" s="14"/>
      <c r="F78" s="14"/>
      <c r="G78" s="14"/>
      <c r="H78" s="14"/>
      <c r="I78" s="14"/>
      <c r="J78" s="14"/>
      <c r="K78" s="14"/>
      <c r="L78" s="14"/>
      <c r="M78" s="14"/>
      <c r="N78" s="14"/>
      <c r="O78" s="14"/>
      <c r="P78" s="14"/>
      <c r="Q78" s="14"/>
      <c r="R78" s="14"/>
      <c r="S78" s="14"/>
    </row>
    <row r="80" spans="1:19">
      <c r="B80" t="s">
        <v>639</v>
      </c>
      <c r="D80" s="208"/>
      <c r="E80" s="208"/>
      <c r="F80" s="208"/>
      <c r="G80" s="208"/>
      <c r="H80" s="208"/>
      <c r="I80" s="147">
        <f>BS!K43</f>
        <v>18018</v>
      </c>
      <c r="J80" s="117">
        <f t="shared" ref="J80:N80" si="42">I83</f>
        <v>21314.366815514975</v>
      </c>
      <c r="K80" s="117">
        <f t="shared" si="42"/>
        <v>24407.07207459267</v>
      </c>
      <c r="L80" s="117">
        <f t="shared" si="42"/>
        <v>27683.621924385039</v>
      </c>
      <c r="M80" s="117">
        <f t="shared" si="42"/>
        <v>31157.006138149602</v>
      </c>
      <c r="N80" s="117">
        <f t="shared" si="42"/>
        <v>34567.234975396648</v>
      </c>
      <c r="O80" s="117">
        <f t="shared" ref="O80" si="43">N83</f>
        <v>37824.137269985309</v>
      </c>
      <c r="P80" s="117">
        <f t="shared" ref="P80" si="44">O83</f>
        <v>40881.441405072474</v>
      </c>
      <c r="Q80" s="117">
        <f t="shared" ref="Q80" si="45">P83</f>
        <v>43692.764261352611</v>
      </c>
      <c r="R80" s="117">
        <f t="shared" ref="R80" si="46">Q83</f>
        <v>46212.772790582283</v>
      </c>
      <c r="S80" s="117">
        <f t="shared" ref="S80" si="47">R83</f>
        <v>48403.508671612188</v>
      </c>
    </row>
    <row r="81" spans="1:19">
      <c r="B81" t="s">
        <v>44</v>
      </c>
      <c r="D81" s="208"/>
      <c r="E81" s="208"/>
      <c r="F81" s="208"/>
      <c r="G81" s="208"/>
      <c r="H81" s="208"/>
      <c r="I81" s="147">
        <f>'3 Statement Model'!I35</f>
        <v>4709.0954507356801</v>
      </c>
      <c r="J81" s="147">
        <f>'3 Statement Model'!J35</f>
        <v>4758.0080908887603</v>
      </c>
      <c r="K81" s="147">
        <f>'3 Statement Model'!K35</f>
        <v>5460.916416320616</v>
      </c>
      <c r="L81" s="147">
        <f>'3 Statement Model'!L35</f>
        <v>6315.2440250264826</v>
      </c>
      <c r="M81" s="147">
        <f>'3 Statement Model'!M35</f>
        <v>6820.4576744940896</v>
      </c>
      <c r="N81" s="147">
        <f>'3 Statement Model'!N35</f>
        <v>7237.5606546414801</v>
      </c>
      <c r="O81" s="147">
        <f>'3 Statement Model'!O35</f>
        <v>7643.2603377179039</v>
      </c>
      <c r="P81" s="147">
        <f>'3 Statement Model'!P35</f>
        <v>8032.3510179432642</v>
      </c>
      <c r="Q81" s="147">
        <f>'3 Statement Model'!Q35</f>
        <v>8400.0284307655838</v>
      </c>
      <c r="R81" s="147">
        <f>'3 Statement Model'!R35</f>
        <v>8762.9435241196006</v>
      </c>
      <c r="S81" s="147">
        <f>'3 Statement Model'!S35</f>
        <v>9119.0223476413139</v>
      </c>
    </row>
    <row r="82" spans="1:19">
      <c r="B82" t="s">
        <v>45</v>
      </c>
      <c r="D82" s="46"/>
      <c r="E82" s="46"/>
      <c r="F82" s="46"/>
      <c r="G82" s="46"/>
      <c r="H82" s="46"/>
      <c r="I82" s="117">
        <f t="shared" ref="I82:N82" si="48">I81*-I85</f>
        <v>-1412.7286352207041</v>
      </c>
      <c r="J82" s="117">
        <f t="shared" si="48"/>
        <v>-1665.302831811066</v>
      </c>
      <c r="K82" s="117">
        <f t="shared" si="48"/>
        <v>-2184.3665665282465</v>
      </c>
      <c r="L82" s="117">
        <f t="shared" si="48"/>
        <v>-2841.8598112619175</v>
      </c>
      <c r="M82" s="117">
        <f t="shared" si="48"/>
        <v>-3410.2288372470448</v>
      </c>
      <c r="N82" s="117">
        <f t="shared" si="48"/>
        <v>-3980.6583600528143</v>
      </c>
      <c r="O82" s="117">
        <f t="shared" ref="O82:S82" si="49">O81*-O85</f>
        <v>-4585.9562026307422</v>
      </c>
      <c r="P82" s="117">
        <f t="shared" si="49"/>
        <v>-5221.0281616631219</v>
      </c>
      <c r="Q82" s="117">
        <f t="shared" si="49"/>
        <v>-5880.0199015359085</v>
      </c>
      <c r="R82" s="117">
        <f t="shared" si="49"/>
        <v>-6572.2076430897005</v>
      </c>
      <c r="S82" s="117">
        <f t="shared" si="49"/>
        <v>-7295.2178781130515</v>
      </c>
    </row>
    <row r="83" spans="1:19">
      <c r="B83" s="24" t="s">
        <v>634</v>
      </c>
      <c r="C83" s="24"/>
      <c r="D83" s="258"/>
      <c r="E83" s="258"/>
      <c r="F83" s="258"/>
      <c r="G83" s="258"/>
      <c r="H83" s="258"/>
      <c r="I83" s="172">
        <f t="shared" ref="I83:N83" si="50">SUM(I80:I82)</f>
        <v>21314.366815514975</v>
      </c>
      <c r="J83" s="172">
        <f t="shared" si="50"/>
        <v>24407.07207459267</v>
      </c>
      <c r="K83" s="172">
        <f t="shared" si="50"/>
        <v>27683.621924385039</v>
      </c>
      <c r="L83" s="172">
        <f t="shared" si="50"/>
        <v>31157.006138149602</v>
      </c>
      <c r="M83" s="172">
        <f t="shared" si="50"/>
        <v>34567.234975396648</v>
      </c>
      <c r="N83" s="172">
        <f t="shared" si="50"/>
        <v>37824.137269985309</v>
      </c>
      <c r="O83" s="172">
        <f t="shared" ref="O83:S83" si="51">SUM(O80:O82)</f>
        <v>40881.441405072474</v>
      </c>
      <c r="P83" s="172">
        <f t="shared" si="51"/>
        <v>43692.764261352611</v>
      </c>
      <c r="Q83" s="172">
        <f t="shared" si="51"/>
        <v>46212.772790582283</v>
      </c>
      <c r="R83" s="172">
        <f t="shared" si="51"/>
        <v>48403.508671612188</v>
      </c>
      <c r="S83" s="172">
        <f t="shared" si="51"/>
        <v>50227.313141140454</v>
      </c>
    </row>
    <row r="85" spans="1:19">
      <c r="B85" s="34" t="s">
        <v>46</v>
      </c>
      <c r="C85" s="34"/>
      <c r="D85" s="26"/>
      <c r="E85" s="26"/>
      <c r="F85" s="26"/>
      <c r="G85" s="26"/>
      <c r="H85" s="26"/>
      <c r="I85" s="28">
        <f>'Control Sheet'!H134</f>
        <v>0.3</v>
      </c>
      <c r="J85" s="28">
        <f>'Control Sheet'!I134</f>
        <v>0.35</v>
      </c>
      <c r="K85" s="28">
        <f>'Control Sheet'!J134</f>
        <v>0.4</v>
      </c>
      <c r="L85" s="28">
        <f>'Control Sheet'!K134</f>
        <v>0.45</v>
      </c>
      <c r="M85" s="28">
        <f>'Control Sheet'!L134</f>
        <v>0.5</v>
      </c>
      <c r="N85" s="28">
        <f>'Control Sheet'!M134</f>
        <v>0.55000000000000004</v>
      </c>
      <c r="O85" s="28">
        <f>'Control Sheet'!N134</f>
        <v>0.6</v>
      </c>
      <c r="P85" s="28">
        <f>'Control Sheet'!O134</f>
        <v>0.65</v>
      </c>
      <c r="Q85" s="28">
        <f>'Control Sheet'!P134</f>
        <v>0.7</v>
      </c>
      <c r="R85" s="28">
        <f>'Control Sheet'!Q134</f>
        <v>0.75</v>
      </c>
      <c r="S85" s="28">
        <f>'Control Sheet'!R134</f>
        <v>0.8</v>
      </c>
    </row>
    <row r="87" spans="1:19" ht="18">
      <c r="A87" t="s">
        <v>29</v>
      </c>
      <c r="B87" s="16" t="s">
        <v>47</v>
      </c>
      <c r="C87" s="16"/>
      <c r="D87" s="14"/>
      <c r="E87" s="14"/>
      <c r="F87" s="14"/>
      <c r="G87" s="14"/>
      <c r="H87" s="14"/>
      <c r="I87" s="14"/>
      <c r="J87" s="14"/>
      <c r="K87" s="14"/>
      <c r="L87" s="14"/>
      <c r="M87" s="14"/>
      <c r="N87" s="14"/>
      <c r="O87" s="14"/>
      <c r="P87" s="14"/>
      <c r="Q87" s="14"/>
      <c r="R87" s="14"/>
      <c r="S87" s="14"/>
    </row>
    <row r="88" spans="1:19">
      <c r="S88" s="47">
        <v>365</v>
      </c>
    </row>
    <row r="89" spans="1:19">
      <c r="B89" s="36" t="s">
        <v>445</v>
      </c>
      <c r="C89" s="36"/>
    </row>
    <row r="90" spans="1:19">
      <c r="B90" t="s">
        <v>0</v>
      </c>
      <c r="D90" s="117">
        <f t="shared" ref="D90:S90" si="52">D11</f>
        <v>9154</v>
      </c>
      <c r="E90" s="117">
        <f t="shared" si="52"/>
        <v>8720</v>
      </c>
      <c r="F90" s="117">
        <f t="shared" si="52"/>
        <v>10298</v>
      </c>
      <c r="G90" s="117">
        <f t="shared" si="52"/>
        <v>14442</v>
      </c>
      <c r="H90" s="117">
        <f t="shared" si="52"/>
        <v>16536</v>
      </c>
      <c r="I90" s="117">
        <f t="shared" si="52"/>
        <v>18870.8832</v>
      </c>
      <c r="J90" s="117">
        <f t="shared" si="52"/>
        <v>21701.515679999997</v>
      </c>
      <c r="K90" s="117">
        <f t="shared" si="52"/>
        <v>25390.773345599995</v>
      </c>
      <c r="L90" s="117">
        <f t="shared" si="52"/>
        <v>28776.209791679994</v>
      </c>
      <c r="M90" s="117">
        <f t="shared" si="52"/>
        <v>31557.910071542392</v>
      </c>
      <c r="N90" s="117">
        <f t="shared" si="52"/>
        <v>33451.384675834939</v>
      </c>
      <c r="O90" s="117">
        <f t="shared" si="52"/>
        <v>35291.210833005862</v>
      </c>
      <c r="P90" s="117">
        <f t="shared" si="52"/>
        <v>37055.771374656157</v>
      </c>
      <c r="Q90" s="117">
        <f t="shared" si="52"/>
        <v>38723.281086515679</v>
      </c>
      <c r="R90" s="117">
        <f t="shared" si="52"/>
        <v>40369.020532692593</v>
      </c>
      <c r="S90" s="117">
        <f t="shared" si="52"/>
        <v>41983.781354000297</v>
      </c>
    </row>
    <row r="91" spans="1:19">
      <c r="B91" t="s">
        <v>445</v>
      </c>
      <c r="D91" s="147">
        <f>BS!G22</f>
        <v>87</v>
      </c>
      <c r="E91" s="147">
        <f>BS!H22</f>
        <v>158</v>
      </c>
      <c r="F91" s="147">
        <f>BS!I22</f>
        <v>302</v>
      </c>
      <c r="G91" s="147">
        <f>BS!J22</f>
        <v>369</v>
      </c>
      <c r="H91" s="147">
        <f>BS!K22</f>
        <v>374</v>
      </c>
      <c r="I91" s="117">
        <f>I90/$S$88*I92</f>
        <v>568.71154849315076</v>
      </c>
      <c r="J91" s="117">
        <f t="shared" ref="J91:S91" si="53">J90/$S$88*J92</f>
        <v>594.56207342465746</v>
      </c>
      <c r="K91" s="117">
        <f t="shared" si="53"/>
        <v>695.63762590684917</v>
      </c>
      <c r="L91" s="117">
        <f t="shared" si="53"/>
        <v>788.3893093610958</v>
      </c>
      <c r="M91" s="117">
        <f t="shared" si="53"/>
        <v>864.6002759326683</v>
      </c>
      <c r="N91" s="117">
        <f t="shared" si="53"/>
        <v>916.47629248862836</v>
      </c>
      <c r="O91" s="117">
        <f t="shared" si="53"/>
        <v>918.53836414672787</v>
      </c>
      <c r="P91" s="117">
        <f t="shared" si="53"/>
        <v>964.46528235406436</v>
      </c>
      <c r="Q91" s="117">
        <f t="shared" si="53"/>
        <v>954.82062953052366</v>
      </c>
      <c r="R91" s="117">
        <f t="shared" si="53"/>
        <v>884.80045003161854</v>
      </c>
      <c r="S91" s="117">
        <f t="shared" si="53"/>
        <v>920.1924680328832</v>
      </c>
    </row>
    <row r="92" spans="1:19">
      <c r="B92" s="34" t="s">
        <v>497</v>
      </c>
      <c r="C92" s="34"/>
      <c r="D92" s="34"/>
      <c r="E92" s="212">
        <f>$S$88/(E90/AVERAGE(D91:E91))</f>
        <v>5.1275802752293576</v>
      </c>
      <c r="F92" s="212">
        <f t="shared" ref="F92:H92" si="54">$S$88/(F90/AVERAGE(E91:F91))</f>
        <v>8.1520683627888921</v>
      </c>
      <c r="G92" s="212">
        <f t="shared" si="54"/>
        <v>8.4792618750865536</v>
      </c>
      <c r="H92" s="212">
        <f t="shared" si="54"/>
        <v>8.2001390904692784</v>
      </c>
      <c r="I92" s="217">
        <v>11</v>
      </c>
      <c r="J92" s="217">
        <v>10</v>
      </c>
      <c r="K92" s="217">
        <v>10</v>
      </c>
      <c r="L92" s="217">
        <v>10</v>
      </c>
      <c r="M92" s="217">
        <v>10</v>
      </c>
      <c r="N92" s="217">
        <v>10</v>
      </c>
      <c r="O92" s="217">
        <v>9.5</v>
      </c>
      <c r="P92" s="217">
        <v>9.5</v>
      </c>
      <c r="Q92" s="217">
        <v>9</v>
      </c>
      <c r="R92" s="217">
        <v>8</v>
      </c>
      <c r="S92" s="217">
        <v>8</v>
      </c>
    </row>
    <row r="94" spans="1:19">
      <c r="B94" s="36" t="s">
        <v>7</v>
      </c>
      <c r="C94" s="36"/>
    </row>
    <row r="95" spans="1:19">
      <c r="B95" t="s">
        <v>48</v>
      </c>
      <c r="D95" s="117">
        <f t="shared" ref="D95:S95" si="55">D18</f>
        <v>4996</v>
      </c>
      <c r="E95" s="117">
        <f t="shared" si="55"/>
        <v>5112</v>
      </c>
      <c r="F95" s="117">
        <f t="shared" si="55"/>
        <v>5956</v>
      </c>
      <c r="G95" s="117">
        <f t="shared" si="55"/>
        <v>8212</v>
      </c>
      <c r="H95" s="117">
        <f t="shared" si="55"/>
        <v>8981</v>
      </c>
      <c r="I95" s="117">
        <f t="shared" si="55"/>
        <v>10462.017646079999</v>
      </c>
      <c r="J95" s="117">
        <f t="shared" si="55"/>
        <v>12152.848780799999</v>
      </c>
      <c r="K95" s="117">
        <f t="shared" si="55"/>
        <v>13964.925340079999</v>
      </c>
      <c r="L95" s="117">
        <f t="shared" si="55"/>
        <v>15683.034336465595</v>
      </c>
      <c r="M95" s="117">
        <f t="shared" si="55"/>
        <v>17356.850539348317</v>
      </c>
      <c r="N95" s="117">
        <f t="shared" si="55"/>
        <v>18398.261571709219</v>
      </c>
      <c r="O95" s="117">
        <f t="shared" si="55"/>
        <v>19410.165958153226</v>
      </c>
      <c r="P95" s="117">
        <f t="shared" si="55"/>
        <v>20380.674256060887</v>
      </c>
      <c r="Q95" s="117">
        <f t="shared" si="55"/>
        <v>21297.804597583625</v>
      </c>
      <c r="R95" s="117">
        <f t="shared" si="55"/>
        <v>22202.961292980926</v>
      </c>
      <c r="S95" s="117">
        <f t="shared" si="55"/>
        <v>23091.079744700164</v>
      </c>
    </row>
    <row r="96" spans="1:19">
      <c r="B96" t="s">
        <v>7</v>
      </c>
      <c r="D96" s="147">
        <f>BS!G17</f>
        <v>572</v>
      </c>
      <c r="E96" s="147">
        <f>BS!H17</f>
        <v>875</v>
      </c>
      <c r="F96" s="147">
        <f>BS!I17</f>
        <v>1132</v>
      </c>
      <c r="G96" s="147">
        <f>BS!J17</f>
        <v>1278</v>
      </c>
      <c r="H96" s="147">
        <f>BS!K17</f>
        <v>1410</v>
      </c>
      <c r="I96" s="117">
        <v>1564</v>
      </c>
      <c r="J96" s="117">
        <f>J95/$S$88*J97</f>
        <v>1997.7285667068493</v>
      </c>
      <c r="K96" s="117">
        <f t="shared" ref="K96:S96" si="56">K95/$S$88*K97</f>
        <v>2295.6041654926025</v>
      </c>
      <c r="L96" s="117">
        <f t="shared" si="56"/>
        <v>2524.324019910558</v>
      </c>
      <c r="M96" s="117">
        <f t="shared" si="56"/>
        <v>2734.2983726370639</v>
      </c>
      <c r="N96" s="117">
        <f t="shared" si="56"/>
        <v>2772.3407847781014</v>
      </c>
      <c r="O96" s="117">
        <f t="shared" si="56"/>
        <v>2924.8195279408969</v>
      </c>
      <c r="P96" s="117">
        <f t="shared" si="56"/>
        <v>3071.0605043379419</v>
      </c>
      <c r="Q96" s="117">
        <f t="shared" si="56"/>
        <v>3209.2582270331491</v>
      </c>
      <c r="R96" s="117">
        <f t="shared" si="56"/>
        <v>3345.6517016820571</v>
      </c>
      <c r="S96" s="117">
        <f t="shared" si="56"/>
        <v>3479.47776974934</v>
      </c>
    </row>
    <row r="97" spans="2:19">
      <c r="B97" s="34" t="s">
        <v>50</v>
      </c>
      <c r="C97" s="34"/>
      <c r="D97" s="34"/>
      <c r="E97" s="212">
        <f>$S$88/(E95/AVERAGE(D96:E96))</f>
        <v>51.658352895148667</v>
      </c>
      <c r="F97" s="212">
        <f t="shared" ref="F97:H97" si="57">$S$88/(F95/AVERAGE(E96:F96))</f>
        <v>61.497229684351915</v>
      </c>
      <c r="G97" s="212">
        <f t="shared" si="57"/>
        <v>53.558816366293229</v>
      </c>
      <c r="H97" s="212">
        <f t="shared" si="57"/>
        <v>54.621979734996103</v>
      </c>
      <c r="I97" s="217">
        <v>55</v>
      </c>
      <c r="J97" s="217">
        <v>60</v>
      </c>
      <c r="K97" s="217">
        <v>60</v>
      </c>
      <c r="L97" s="218">
        <f t="shared" ref="L97:M97" si="58">K97-(($J$97-$N$97)/4)</f>
        <v>58.75</v>
      </c>
      <c r="M97" s="218">
        <f t="shared" si="58"/>
        <v>57.5</v>
      </c>
      <c r="N97" s="217">
        <v>55</v>
      </c>
      <c r="O97" s="217">
        <v>55</v>
      </c>
      <c r="P97" s="217">
        <v>55</v>
      </c>
      <c r="Q97" s="217">
        <v>55</v>
      </c>
      <c r="R97" s="217">
        <v>55</v>
      </c>
      <c r="S97" s="217">
        <v>55</v>
      </c>
    </row>
    <row r="99" spans="2:19">
      <c r="B99" s="36" t="s">
        <v>10</v>
      </c>
      <c r="C99" s="36"/>
    </row>
    <row r="100" spans="2:19">
      <c r="B100" t="s">
        <v>43</v>
      </c>
      <c r="D100" s="117">
        <f t="shared" ref="D100:S100" si="59">D11</f>
        <v>9154</v>
      </c>
      <c r="E100" s="117">
        <f t="shared" si="59"/>
        <v>8720</v>
      </c>
      <c r="F100" s="117">
        <f t="shared" si="59"/>
        <v>10298</v>
      </c>
      <c r="G100" s="117">
        <f t="shared" si="59"/>
        <v>14442</v>
      </c>
      <c r="H100" s="117">
        <f t="shared" si="59"/>
        <v>16536</v>
      </c>
      <c r="I100" s="117">
        <f t="shared" si="59"/>
        <v>18870.8832</v>
      </c>
      <c r="J100" s="117">
        <f t="shared" si="59"/>
        <v>21701.515679999997</v>
      </c>
      <c r="K100" s="117">
        <f t="shared" si="59"/>
        <v>25390.773345599995</v>
      </c>
      <c r="L100" s="117">
        <f t="shared" si="59"/>
        <v>28776.209791679994</v>
      </c>
      <c r="M100" s="117">
        <f t="shared" si="59"/>
        <v>31557.910071542392</v>
      </c>
      <c r="N100" s="117">
        <f t="shared" si="59"/>
        <v>33451.384675834939</v>
      </c>
      <c r="O100" s="117">
        <f t="shared" si="59"/>
        <v>35291.210833005862</v>
      </c>
      <c r="P100" s="117">
        <f t="shared" si="59"/>
        <v>37055.771374656157</v>
      </c>
      <c r="Q100" s="117">
        <f t="shared" si="59"/>
        <v>38723.281086515679</v>
      </c>
      <c r="R100" s="117">
        <f t="shared" si="59"/>
        <v>40369.020532692593</v>
      </c>
      <c r="S100" s="117">
        <f t="shared" si="59"/>
        <v>41983.781354000297</v>
      </c>
    </row>
    <row r="101" spans="2:19">
      <c r="B101" t="s">
        <v>10</v>
      </c>
      <c r="D101" s="147">
        <f>BS!G33</f>
        <v>127</v>
      </c>
      <c r="E101" s="147">
        <f>BS!H33</f>
        <v>249</v>
      </c>
      <c r="F101" s="147">
        <f>BS!I33</f>
        <v>125</v>
      </c>
      <c r="G101" s="147">
        <f>BS!J33</f>
        <v>86</v>
      </c>
      <c r="H101" s="147">
        <f>BS!K33</f>
        <v>133</v>
      </c>
      <c r="I101" s="117">
        <f t="shared" ref="I101:N101" si="60">I100*I102</f>
        <v>188.708832</v>
      </c>
      <c r="J101" s="117">
        <f t="shared" si="60"/>
        <v>217.01515679999997</v>
      </c>
      <c r="K101" s="117">
        <f t="shared" si="60"/>
        <v>253.90773345599996</v>
      </c>
      <c r="L101" s="117">
        <f t="shared" si="60"/>
        <v>287.76209791679997</v>
      </c>
      <c r="M101" s="117">
        <f t="shared" si="60"/>
        <v>315.57910071542392</v>
      </c>
      <c r="N101" s="117">
        <f t="shared" si="60"/>
        <v>334.51384675834942</v>
      </c>
      <c r="O101" s="117">
        <f t="shared" ref="O101:S101" si="61">O100*O102</f>
        <v>352.91210833005863</v>
      </c>
      <c r="P101" s="117">
        <f t="shared" si="61"/>
        <v>370.55771374656155</v>
      </c>
      <c r="Q101" s="117">
        <f t="shared" si="61"/>
        <v>387.23281086515681</v>
      </c>
      <c r="R101" s="117">
        <f t="shared" si="61"/>
        <v>403.69020532692593</v>
      </c>
      <c r="S101" s="117">
        <f t="shared" si="61"/>
        <v>419.83781354000297</v>
      </c>
    </row>
    <row r="102" spans="2:19">
      <c r="B102" s="34" t="s">
        <v>51</v>
      </c>
      <c r="C102" s="34"/>
      <c r="D102" s="49">
        <f>D101/D100</f>
        <v>1.3873716408127594E-2</v>
      </c>
      <c r="E102" s="49">
        <f t="shared" ref="E102:H102" si="62">E101/E100</f>
        <v>2.8555045871559635E-2</v>
      </c>
      <c r="F102" s="49">
        <f t="shared" si="62"/>
        <v>1.2138279277529617E-2</v>
      </c>
      <c r="G102" s="49">
        <f t="shared" si="62"/>
        <v>5.9548538983520286E-3</v>
      </c>
      <c r="H102" s="49">
        <f t="shared" si="62"/>
        <v>8.0430575713594573E-3</v>
      </c>
      <c r="I102" s="228">
        <v>0.01</v>
      </c>
      <c r="J102" s="228">
        <v>0.01</v>
      </c>
      <c r="K102" s="228">
        <v>0.01</v>
      </c>
      <c r="L102" s="228">
        <v>0.01</v>
      </c>
      <c r="M102" s="228">
        <v>0.01</v>
      </c>
      <c r="N102" s="228">
        <v>0.01</v>
      </c>
      <c r="O102" s="228">
        <v>0.01</v>
      </c>
      <c r="P102" s="228">
        <v>0.01</v>
      </c>
      <c r="Q102" s="228">
        <v>0.01</v>
      </c>
      <c r="R102" s="228">
        <v>0.01</v>
      </c>
      <c r="S102" s="228">
        <v>0.01</v>
      </c>
    </row>
    <row r="104" spans="2:19">
      <c r="B104" s="36" t="s">
        <v>500</v>
      </c>
      <c r="C104" s="36"/>
    </row>
    <row r="105" spans="2:19">
      <c r="B105" t="s">
        <v>43</v>
      </c>
      <c r="D105" s="117">
        <f t="shared" ref="D105:S105" si="63">D11</f>
        <v>9154</v>
      </c>
      <c r="E105" s="117">
        <f t="shared" si="63"/>
        <v>8720</v>
      </c>
      <c r="F105" s="117">
        <f t="shared" si="63"/>
        <v>10298</v>
      </c>
      <c r="G105" s="117">
        <f t="shared" si="63"/>
        <v>14442</v>
      </c>
      <c r="H105" s="117">
        <f t="shared" si="63"/>
        <v>16536</v>
      </c>
      <c r="I105" s="117">
        <f t="shared" si="63"/>
        <v>18870.8832</v>
      </c>
      <c r="J105" s="117">
        <f t="shared" si="63"/>
        <v>21701.515679999997</v>
      </c>
      <c r="K105" s="117">
        <f t="shared" si="63"/>
        <v>25390.773345599995</v>
      </c>
      <c r="L105" s="117">
        <f t="shared" si="63"/>
        <v>28776.209791679994</v>
      </c>
      <c r="M105" s="117">
        <f t="shared" si="63"/>
        <v>31557.910071542392</v>
      </c>
      <c r="N105" s="117">
        <f t="shared" si="63"/>
        <v>33451.384675834939</v>
      </c>
      <c r="O105" s="117">
        <f t="shared" si="63"/>
        <v>35291.210833005862</v>
      </c>
      <c r="P105" s="117">
        <f t="shared" si="63"/>
        <v>37055.771374656157</v>
      </c>
      <c r="Q105" s="117">
        <f t="shared" si="63"/>
        <v>38723.281086515679</v>
      </c>
      <c r="R105" s="117">
        <f t="shared" si="63"/>
        <v>40369.020532692593</v>
      </c>
      <c r="S105" s="117">
        <f t="shared" si="63"/>
        <v>41983.781354000297</v>
      </c>
    </row>
    <row r="106" spans="2:19">
      <c r="B106" t="s">
        <v>500</v>
      </c>
      <c r="D106" s="147">
        <f>BS!G19</f>
        <v>2512</v>
      </c>
      <c r="E106" s="147">
        <f>BS!H19</f>
        <v>1076</v>
      </c>
      <c r="F106" s="147">
        <f>BS!I19</f>
        <v>425</v>
      </c>
      <c r="G106" s="147">
        <f>BS!J19</f>
        <v>220</v>
      </c>
      <c r="H106" s="147">
        <f>BS!K19</f>
        <v>181</v>
      </c>
      <c r="I106" s="117">
        <f t="shared" ref="I106:N106" si="64">I105*I107</f>
        <v>1320.9618240000002</v>
      </c>
      <c r="J106" s="117">
        <f t="shared" si="64"/>
        <v>1519.1060975999999</v>
      </c>
      <c r="K106" s="117">
        <f t="shared" si="64"/>
        <v>1777.3541341919997</v>
      </c>
      <c r="L106" s="117">
        <f t="shared" si="64"/>
        <v>2014.3346854175998</v>
      </c>
      <c r="M106" s="117">
        <f t="shared" si="64"/>
        <v>2209.0537050079674</v>
      </c>
      <c r="N106" s="117">
        <f t="shared" si="64"/>
        <v>2341.5969273084461</v>
      </c>
      <c r="O106" s="117">
        <f t="shared" ref="O106:S106" si="65">O105*O107</f>
        <v>2470.3847583104107</v>
      </c>
      <c r="P106" s="117">
        <f t="shared" si="65"/>
        <v>2593.9039962259312</v>
      </c>
      <c r="Q106" s="117">
        <f t="shared" si="65"/>
        <v>2710.6296760560977</v>
      </c>
      <c r="R106" s="117">
        <f t="shared" si="65"/>
        <v>2825.831437288482</v>
      </c>
      <c r="S106" s="117">
        <f t="shared" si="65"/>
        <v>2938.8646947800212</v>
      </c>
    </row>
    <row r="107" spans="2:19">
      <c r="B107" s="34" t="s">
        <v>501</v>
      </c>
      <c r="C107" s="34"/>
      <c r="D107" s="49">
        <f>D106/D105</f>
        <v>0.27441555604107493</v>
      </c>
      <c r="E107" s="49">
        <f t="shared" ref="E107" si="66">E106/E105</f>
        <v>0.12339449541284404</v>
      </c>
      <c r="F107" s="49">
        <f t="shared" ref="F107" si="67">F106/F105</f>
        <v>4.1270149543600698E-2</v>
      </c>
      <c r="G107" s="49">
        <f t="shared" ref="G107" si="68">G106/G105</f>
        <v>1.5233347181830772E-2</v>
      </c>
      <c r="H107" s="49">
        <f t="shared" ref="H107" si="69">H106/H105</f>
        <v>1.094581519109821E-2</v>
      </c>
      <c r="I107" s="228">
        <v>7.0000000000000007E-2</v>
      </c>
      <c r="J107" s="228">
        <v>7.0000000000000007E-2</v>
      </c>
      <c r="K107" s="228">
        <v>7.0000000000000007E-2</v>
      </c>
      <c r="L107" s="228">
        <v>7.0000000000000007E-2</v>
      </c>
      <c r="M107" s="228">
        <v>7.0000000000000007E-2</v>
      </c>
      <c r="N107" s="228">
        <v>7.0000000000000007E-2</v>
      </c>
      <c r="O107" s="228">
        <v>7.0000000000000007E-2</v>
      </c>
      <c r="P107" s="228">
        <v>7.0000000000000007E-2</v>
      </c>
      <c r="Q107" s="228">
        <v>7.0000000000000007E-2</v>
      </c>
      <c r="R107" s="228">
        <v>7.0000000000000007E-2</v>
      </c>
      <c r="S107" s="228">
        <v>7.0000000000000007E-2</v>
      </c>
    </row>
    <row r="109" spans="2:19">
      <c r="B109" s="36" t="s">
        <v>581</v>
      </c>
      <c r="C109" s="36"/>
    </row>
    <row r="110" spans="2:19">
      <c r="B110" t="s">
        <v>43</v>
      </c>
      <c r="D110" s="117">
        <f t="shared" ref="D110:S110" si="70">D11</f>
        <v>9154</v>
      </c>
      <c r="E110" s="117">
        <f t="shared" si="70"/>
        <v>8720</v>
      </c>
      <c r="F110" s="117">
        <f t="shared" si="70"/>
        <v>10298</v>
      </c>
      <c r="G110" s="117">
        <f t="shared" si="70"/>
        <v>14442</v>
      </c>
      <c r="H110" s="117">
        <f t="shared" si="70"/>
        <v>16536</v>
      </c>
      <c r="I110" s="117">
        <f t="shared" si="70"/>
        <v>18870.8832</v>
      </c>
      <c r="J110" s="117">
        <f t="shared" si="70"/>
        <v>21701.515679999997</v>
      </c>
      <c r="K110" s="117">
        <f t="shared" si="70"/>
        <v>25390.773345599995</v>
      </c>
      <c r="L110" s="117">
        <f t="shared" si="70"/>
        <v>28776.209791679994</v>
      </c>
      <c r="M110" s="117">
        <f t="shared" si="70"/>
        <v>31557.910071542392</v>
      </c>
      <c r="N110" s="117">
        <f t="shared" si="70"/>
        <v>33451.384675834939</v>
      </c>
      <c r="O110" s="117">
        <f t="shared" si="70"/>
        <v>35291.210833005862</v>
      </c>
      <c r="P110" s="117">
        <f t="shared" si="70"/>
        <v>37055.771374656157</v>
      </c>
      <c r="Q110" s="117">
        <f t="shared" si="70"/>
        <v>38723.281086515679</v>
      </c>
      <c r="R110" s="117">
        <f t="shared" si="70"/>
        <v>40369.020532692593</v>
      </c>
      <c r="S110" s="117">
        <f t="shared" si="70"/>
        <v>41983.781354000297</v>
      </c>
    </row>
    <row r="111" spans="2:19">
      <c r="B111" t="s">
        <v>577</v>
      </c>
      <c r="D111" s="147">
        <f>BS!G30</f>
        <v>126</v>
      </c>
      <c r="E111" s="147">
        <f>BS!H30</f>
        <v>620</v>
      </c>
      <c r="F111" s="147">
        <f>BS!I30</f>
        <v>913</v>
      </c>
      <c r="G111" s="147">
        <f>BS!J30</f>
        <v>964</v>
      </c>
      <c r="H111" s="147">
        <f>BS!K30</f>
        <v>1907</v>
      </c>
      <c r="I111" s="117">
        <f t="shared" ref="I111:N111" si="71">I110*I112</f>
        <v>1339.8327072</v>
      </c>
      <c r="J111" s="117">
        <f t="shared" si="71"/>
        <v>1540.8076132799997</v>
      </c>
      <c r="K111" s="117">
        <f t="shared" si="71"/>
        <v>1802.7449075375996</v>
      </c>
      <c r="L111" s="117">
        <f t="shared" si="71"/>
        <v>2043.1108952092793</v>
      </c>
      <c r="M111" s="117">
        <f t="shared" si="71"/>
        <v>2240.6116150795096</v>
      </c>
      <c r="N111" s="117">
        <f t="shared" si="71"/>
        <v>2375.0483119842806</v>
      </c>
      <c r="O111" s="117">
        <f t="shared" ref="O111:S111" si="72">O110*O112</f>
        <v>2505.6759691434158</v>
      </c>
      <c r="P111" s="117">
        <f t="shared" si="72"/>
        <v>2630.9597676005869</v>
      </c>
      <c r="Q111" s="117">
        <f t="shared" si="72"/>
        <v>2749.3529571426129</v>
      </c>
      <c r="R111" s="117">
        <f t="shared" si="72"/>
        <v>2866.200457821174</v>
      </c>
      <c r="S111" s="117">
        <f t="shared" si="72"/>
        <v>2980.848476134021</v>
      </c>
    </row>
    <row r="112" spans="2:19">
      <c r="B112" s="34" t="s">
        <v>579</v>
      </c>
      <c r="C112" s="34"/>
      <c r="D112" s="49">
        <f>D111/D110</f>
        <v>1.3764474546646276E-2</v>
      </c>
      <c r="E112" s="49">
        <f t="shared" ref="E112:H112" si="73">E111/E110</f>
        <v>7.1100917431192664E-2</v>
      </c>
      <c r="F112" s="49">
        <f t="shared" si="73"/>
        <v>8.8657991843076323E-2</v>
      </c>
      <c r="G112" s="49">
        <f t="shared" si="73"/>
        <v>6.674975765129483E-2</v>
      </c>
      <c r="H112" s="49">
        <f t="shared" si="73"/>
        <v>0.1153241412675375</v>
      </c>
      <c r="I112" s="228">
        <v>7.0999999999999994E-2</v>
      </c>
      <c r="J112" s="228">
        <v>7.0999999999999994E-2</v>
      </c>
      <c r="K112" s="228">
        <v>7.0999999999999994E-2</v>
      </c>
      <c r="L112" s="228">
        <v>7.0999999999999994E-2</v>
      </c>
      <c r="M112" s="228">
        <v>7.0999999999999994E-2</v>
      </c>
      <c r="N112" s="228">
        <v>7.0999999999999994E-2</v>
      </c>
      <c r="O112" s="228">
        <v>7.0999999999999994E-2</v>
      </c>
      <c r="P112" s="228">
        <v>7.0999999999999994E-2</v>
      </c>
      <c r="Q112" s="228">
        <v>7.0999999999999994E-2</v>
      </c>
      <c r="R112" s="228">
        <v>7.0999999999999994E-2</v>
      </c>
      <c r="S112" s="228">
        <v>7.0999999999999994E-2</v>
      </c>
    </row>
    <row r="114" spans="2:19">
      <c r="B114" s="36" t="s">
        <v>157</v>
      </c>
      <c r="C114" s="36"/>
    </row>
    <row r="115" spans="2:19">
      <c r="B115" t="s">
        <v>48</v>
      </c>
      <c r="D115" s="147">
        <f>'P&amp;L'!G14</f>
        <v>4996</v>
      </c>
      <c r="E115" s="147">
        <f>'P&amp;L'!H14</f>
        <v>5112</v>
      </c>
      <c r="F115" s="147">
        <f>'P&amp;L'!I14</f>
        <v>5956</v>
      </c>
      <c r="G115" s="147">
        <f>'P&amp;L'!J14</f>
        <v>8212</v>
      </c>
      <c r="H115" s="147">
        <f>'P&amp;L'!K14</f>
        <v>8981</v>
      </c>
      <c r="I115" s="37">
        <f t="shared" ref="I115:S115" si="74">I18</f>
        <v>10462.017646079999</v>
      </c>
      <c r="J115" s="37">
        <f t="shared" si="74"/>
        <v>12152.848780799999</v>
      </c>
      <c r="K115" s="37">
        <f t="shared" si="74"/>
        <v>13964.925340079999</v>
      </c>
      <c r="L115" s="37">
        <f t="shared" si="74"/>
        <v>15683.034336465595</v>
      </c>
      <c r="M115" s="37">
        <f t="shared" si="74"/>
        <v>17356.850539348317</v>
      </c>
      <c r="N115" s="37">
        <f t="shared" si="74"/>
        <v>18398.261571709219</v>
      </c>
      <c r="O115" s="37">
        <f t="shared" si="74"/>
        <v>19410.165958153226</v>
      </c>
      <c r="P115" s="37">
        <f t="shared" si="74"/>
        <v>20380.674256060887</v>
      </c>
      <c r="Q115" s="37">
        <f t="shared" si="74"/>
        <v>21297.804597583625</v>
      </c>
      <c r="R115" s="37">
        <f t="shared" si="74"/>
        <v>22202.961292980926</v>
      </c>
      <c r="S115" s="37">
        <f t="shared" si="74"/>
        <v>23091.079744700164</v>
      </c>
    </row>
    <row r="116" spans="2:19">
      <c r="B116" t="s">
        <v>157</v>
      </c>
      <c r="D116" s="147">
        <f>BS!G53</f>
        <v>1069.3169934640523</v>
      </c>
      <c r="E116" s="147">
        <f>BS!H53</f>
        <v>1731.681045751634</v>
      </c>
      <c r="F116" s="147">
        <f>BS!I53</f>
        <v>1818.9542483660132</v>
      </c>
      <c r="G116" s="147">
        <f>BS!J53</f>
        <v>1690.6745098039216</v>
      </c>
      <c r="H116" s="147">
        <f>BS!K53</f>
        <v>1906.8908496732026</v>
      </c>
      <c r="I116" s="37">
        <f>I115/$S$88*I117</f>
        <v>2579.6755839649313</v>
      </c>
      <c r="J116" s="37">
        <f t="shared" ref="J116:S116" si="75">J115/$S$88*J117</f>
        <v>2597.0471367189043</v>
      </c>
      <c r="K116" s="37">
        <f t="shared" si="75"/>
        <v>2984.2854151403835</v>
      </c>
      <c r="L116" s="37">
        <f t="shared" si="75"/>
        <v>3351.4429540940173</v>
      </c>
      <c r="M116" s="37">
        <f t="shared" si="75"/>
        <v>3709.1351837511475</v>
      </c>
      <c r="N116" s="37">
        <f t="shared" si="75"/>
        <v>3931.6832947762168</v>
      </c>
      <c r="O116" s="37">
        <f t="shared" si="75"/>
        <v>4254.2829497322136</v>
      </c>
      <c r="P116" s="37">
        <f t="shared" si="75"/>
        <v>4578.6720246492951</v>
      </c>
      <c r="Q116" s="37">
        <f t="shared" si="75"/>
        <v>4901.4125649233547</v>
      </c>
      <c r="R116" s="37">
        <f t="shared" si="75"/>
        <v>5231.3826608119443</v>
      </c>
      <c r="S116" s="37">
        <f t="shared" si="75"/>
        <v>5503.9011994216835</v>
      </c>
    </row>
    <row r="117" spans="2:19">
      <c r="B117" s="34" t="s">
        <v>605</v>
      </c>
      <c r="C117" s="34"/>
      <c r="D117" s="48">
        <f>D116/D115*$S$88</f>
        <v>78.122638633782842</v>
      </c>
      <c r="E117" s="48">
        <f t="shared" ref="E117:H117" si="76">E116/E115*$S$88</f>
        <v>123.64311066106151</v>
      </c>
      <c r="F117" s="48">
        <f t="shared" si="76"/>
        <v>111.47050044553305</v>
      </c>
      <c r="G117" s="48">
        <f t="shared" si="76"/>
        <v>75.145664403121216</v>
      </c>
      <c r="H117" s="48">
        <f t="shared" si="76"/>
        <v>77.49862600275236</v>
      </c>
      <c r="I117" s="273">
        <v>90</v>
      </c>
      <c r="J117" s="273">
        <v>78</v>
      </c>
      <c r="K117" s="273">
        <v>78</v>
      </c>
      <c r="L117" s="273">
        <v>78</v>
      </c>
      <c r="M117" s="273">
        <v>78</v>
      </c>
      <c r="N117" s="273">
        <v>78</v>
      </c>
      <c r="O117" s="273">
        <v>80</v>
      </c>
      <c r="P117" s="273">
        <v>82</v>
      </c>
      <c r="Q117" s="273">
        <v>84</v>
      </c>
      <c r="R117" s="273">
        <v>86</v>
      </c>
      <c r="S117" s="273">
        <v>87</v>
      </c>
    </row>
    <row r="119" spans="2:19">
      <c r="B119" s="36" t="s">
        <v>612</v>
      </c>
      <c r="C119" s="36"/>
    </row>
    <row r="120" spans="2:19">
      <c r="B120" t="s">
        <v>612</v>
      </c>
      <c r="D120" s="190">
        <f t="shared" ref="D120:S120" si="77">D121*D11</f>
        <v>301.70588235294122</v>
      </c>
      <c r="E120" s="190">
        <f t="shared" si="77"/>
        <v>482.05882352941182</v>
      </c>
      <c r="F120" s="190">
        <f t="shared" si="77"/>
        <v>206.1764705882353</v>
      </c>
      <c r="G120" s="190">
        <f t="shared" si="77"/>
        <v>156.94117647058823</v>
      </c>
      <c r="H120" s="190">
        <f t="shared" si="77"/>
        <v>84.235294117647058</v>
      </c>
      <c r="I120" s="190">
        <f t="shared" si="77"/>
        <v>377.417664</v>
      </c>
      <c r="J120" s="190">
        <f t="shared" si="77"/>
        <v>434.03031359999994</v>
      </c>
      <c r="K120" s="190">
        <f t="shared" si="77"/>
        <v>507.81546691199992</v>
      </c>
      <c r="L120" s="190">
        <f t="shared" si="77"/>
        <v>575.52419583359995</v>
      </c>
      <c r="M120" s="190">
        <f t="shared" si="77"/>
        <v>631.15820143084784</v>
      </c>
      <c r="N120" s="190">
        <f t="shared" si="77"/>
        <v>669.02769351669883</v>
      </c>
      <c r="O120" s="190">
        <f t="shared" si="77"/>
        <v>705.82421666011726</v>
      </c>
      <c r="P120" s="190">
        <f t="shared" si="77"/>
        <v>741.11542749312309</v>
      </c>
      <c r="Q120" s="190">
        <f t="shared" si="77"/>
        <v>774.46562173031361</v>
      </c>
      <c r="R120" s="190">
        <f t="shared" si="77"/>
        <v>807.38041065385187</v>
      </c>
      <c r="S120" s="190">
        <f t="shared" si="77"/>
        <v>839.67562708000594</v>
      </c>
    </row>
    <row r="121" spans="2:19">
      <c r="B121" s="34" t="s">
        <v>613</v>
      </c>
      <c r="C121" s="34"/>
      <c r="D121" s="49">
        <f>'Control Sheet'!C114</f>
        <v>3.2958912208099322E-2</v>
      </c>
      <c r="E121" s="49">
        <f>'Control Sheet'!D114</f>
        <v>5.5281975175391261E-2</v>
      </c>
      <c r="F121" s="49">
        <f>'Control Sheet'!E114</f>
        <v>2.0021020643642969E-2</v>
      </c>
      <c r="G121" s="49">
        <f>'Control Sheet'!F114</f>
        <v>1.0866997401370187E-2</v>
      </c>
      <c r="H121" s="49">
        <f>'Control Sheet'!G114</f>
        <v>5.0940550385611431E-3</v>
      </c>
      <c r="I121" s="49">
        <f>'Control Sheet'!H117</f>
        <v>0.02</v>
      </c>
      <c r="J121" s="49">
        <f>'Control Sheet'!I117</f>
        <v>0.02</v>
      </c>
      <c r="K121" s="49">
        <f>'Control Sheet'!J117</f>
        <v>0.02</v>
      </c>
      <c r="L121" s="49">
        <f>'Control Sheet'!K117</f>
        <v>0.02</v>
      </c>
      <c r="M121" s="49">
        <f>'Control Sheet'!L117</f>
        <v>0.02</v>
      </c>
      <c r="N121" s="49">
        <f>'Control Sheet'!M117</f>
        <v>0.02</v>
      </c>
      <c r="O121" s="49">
        <f>'Control Sheet'!N117</f>
        <v>0.02</v>
      </c>
      <c r="P121" s="49">
        <f>'Control Sheet'!O117</f>
        <v>0.02</v>
      </c>
      <c r="Q121" s="49">
        <f>'Control Sheet'!P117</f>
        <v>0.02</v>
      </c>
      <c r="R121" s="49">
        <f>'Control Sheet'!Q117</f>
        <v>0.02</v>
      </c>
      <c r="S121" s="49">
        <f>'Control Sheet'!R117</f>
        <v>0.02</v>
      </c>
    </row>
    <row r="123" spans="2:19">
      <c r="B123" s="295" t="s">
        <v>629</v>
      </c>
      <c r="C123" s="36"/>
    </row>
    <row r="124" spans="2:19">
      <c r="B124" t="s">
        <v>506</v>
      </c>
      <c r="D124" s="147">
        <f>'P&amp;L'!G3</f>
        <v>9154</v>
      </c>
      <c r="E124" s="147">
        <f>'P&amp;L'!H3</f>
        <v>8720</v>
      </c>
      <c r="F124" s="147">
        <f>'P&amp;L'!I3</f>
        <v>10298</v>
      </c>
      <c r="G124" s="147">
        <f>'P&amp;L'!J3</f>
        <v>14442</v>
      </c>
      <c r="H124" s="147">
        <f>'P&amp;L'!K3</f>
        <v>16536</v>
      </c>
      <c r="I124" s="147">
        <f>'3 Statement Model'!I10</f>
        <v>18870.8832</v>
      </c>
      <c r="J124" s="147">
        <f>'3 Statement Model'!J10</f>
        <v>21701.515679999997</v>
      </c>
      <c r="K124" s="147">
        <f>'3 Statement Model'!K10</f>
        <v>25390.773345599995</v>
      </c>
      <c r="L124" s="147">
        <f>'3 Statement Model'!L10</f>
        <v>28776.209791679994</v>
      </c>
      <c r="M124" s="147">
        <f>'3 Statement Model'!M10</f>
        <v>31557.910071542392</v>
      </c>
      <c r="N124" s="147">
        <f>'3 Statement Model'!N10</f>
        <v>33451.384675834939</v>
      </c>
      <c r="O124" s="147">
        <f>'3 Statement Model'!O10</f>
        <v>35291.210833005862</v>
      </c>
      <c r="P124" s="147">
        <f>'3 Statement Model'!P10</f>
        <v>37055.771374656157</v>
      </c>
      <c r="Q124" s="147">
        <f>'3 Statement Model'!Q10</f>
        <v>38723.281086515679</v>
      </c>
      <c r="R124" s="147">
        <f>'3 Statement Model'!R10</f>
        <v>40369.020532692593</v>
      </c>
      <c r="S124" s="147">
        <f>'3 Statement Model'!S10</f>
        <v>41983.781354000297</v>
      </c>
    </row>
    <row r="125" spans="2:19">
      <c r="B125" t="s">
        <v>629</v>
      </c>
      <c r="D125" s="117">
        <f>D124*D126</f>
        <v>603.67574822164477</v>
      </c>
      <c r="E125" s="117">
        <f t="shared" ref="E125:M125" si="78">E124*E126</f>
        <v>496.13282173459623</v>
      </c>
      <c r="F125" s="117">
        <f t="shared" si="78"/>
        <v>643.55097877234311</v>
      </c>
      <c r="G125" s="117">
        <f t="shared" si="78"/>
        <v>1009.3873822640842</v>
      </c>
      <c r="H125" s="117">
        <f t="shared" si="78"/>
        <v>997.04375174426218</v>
      </c>
      <c r="I125" s="117">
        <f t="shared" si="78"/>
        <v>1244.4717648419562</v>
      </c>
      <c r="J125" s="117">
        <f t="shared" si="78"/>
        <v>1431.1425295682493</v>
      </c>
      <c r="K125" s="117">
        <f t="shared" si="78"/>
        <v>1674.4367595948518</v>
      </c>
      <c r="L125" s="117">
        <f t="shared" si="78"/>
        <v>1897.6949942074987</v>
      </c>
      <c r="M125" s="117">
        <f t="shared" si="78"/>
        <v>2081.1388436475568</v>
      </c>
      <c r="N125" s="117">
        <f t="shared" ref="N125:S125" si="79">N124*N126</f>
        <v>2206.0071742664104</v>
      </c>
      <c r="O125" s="117">
        <f t="shared" si="79"/>
        <v>2327.3375688510628</v>
      </c>
      <c r="P125" s="117">
        <f t="shared" si="79"/>
        <v>2443.7044472936163</v>
      </c>
      <c r="Q125" s="117">
        <f t="shared" si="79"/>
        <v>2553.6711474218287</v>
      </c>
      <c r="R125" s="117">
        <f t="shared" si="79"/>
        <v>2662.2021711872562</v>
      </c>
      <c r="S125" s="117">
        <f t="shared" si="79"/>
        <v>2768.6902580347464</v>
      </c>
    </row>
    <row r="126" spans="2:19">
      <c r="B126" s="34" t="s">
        <v>632</v>
      </c>
      <c r="C126" s="34"/>
      <c r="D126" s="293">
        <f>Assumptions!G781</f>
        <v>6.5946662466860914E-2</v>
      </c>
      <c r="E126" s="293">
        <f>Assumptions!H781</f>
        <v>5.6895965795251864E-2</v>
      </c>
      <c r="F126" s="293">
        <f>Assumptions!I781</f>
        <v>6.249281207732988E-2</v>
      </c>
      <c r="G126" s="293">
        <f>Assumptions!J781</f>
        <v>6.9892492886309665E-2</v>
      </c>
      <c r="H126" s="293">
        <f>Assumptions!K781</f>
        <v>6.0295340574761866E-2</v>
      </c>
      <c r="I126" s="294">
        <f>Assumptions!M781</f>
        <v>6.5946662466860914E-2</v>
      </c>
      <c r="J126" s="50">
        <f>I126</f>
        <v>6.5946662466860914E-2</v>
      </c>
      <c r="K126" s="50">
        <f>J126</f>
        <v>6.5946662466860914E-2</v>
      </c>
      <c r="L126" s="50">
        <f>K126</f>
        <v>6.5946662466860914E-2</v>
      </c>
      <c r="M126" s="50">
        <f>L126</f>
        <v>6.5946662466860914E-2</v>
      </c>
      <c r="N126" s="50">
        <f>M126</f>
        <v>6.5946662466860914E-2</v>
      </c>
      <c r="O126" s="50">
        <f t="shared" ref="O126:S126" si="80">N126</f>
        <v>6.5946662466860914E-2</v>
      </c>
      <c r="P126" s="50">
        <f t="shared" si="80"/>
        <v>6.5946662466860914E-2</v>
      </c>
      <c r="Q126" s="50">
        <f t="shared" si="80"/>
        <v>6.5946662466860914E-2</v>
      </c>
      <c r="R126" s="50">
        <f t="shared" si="80"/>
        <v>6.5946662466860914E-2</v>
      </c>
      <c r="S126" s="50">
        <f t="shared" si="80"/>
        <v>6.5946662466860914E-2</v>
      </c>
    </row>
    <row r="128" spans="2:19">
      <c r="B128" s="36" t="s">
        <v>79</v>
      </c>
      <c r="C128" s="36"/>
    </row>
    <row r="130" spans="1:19">
      <c r="B130" s="54" t="s">
        <v>80</v>
      </c>
      <c r="C130" s="54"/>
      <c r="D130" s="117">
        <f>D96-BS!F17</f>
        <v>-61</v>
      </c>
      <c r="E130" s="117">
        <f t="shared" ref="E130:N130" si="81">E96-D96</f>
        <v>303</v>
      </c>
      <c r="F130" s="117">
        <f t="shared" si="81"/>
        <v>257</v>
      </c>
      <c r="G130" s="117">
        <f t="shared" si="81"/>
        <v>146</v>
      </c>
      <c r="H130" s="117">
        <f t="shared" si="81"/>
        <v>132</v>
      </c>
      <c r="I130" s="117">
        <f t="shared" si="81"/>
        <v>154</v>
      </c>
      <c r="J130" s="117">
        <f t="shared" si="81"/>
        <v>433.72856670684928</v>
      </c>
      <c r="K130" s="117">
        <f t="shared" si="81"/>
        <v>297.87559878575325</v>
      </c>
      <c r="L130" s="117">
        <f t="shared" si="81"/>
        <v>228.7198544179555</v>
      </c>
      <c r="M130" s="117">
        <f t="shared" si="81"/>
        <v>209.97435272650591</v>
      </c>
      <c r="N130" s="117">
        <f t="shared" si="81"/>
        <v>38.042412141037403</v>
      </c>
      <c r="O130" s="117">
        <f t="shared" ref="O130" si="82">O96-N96</f>
        <v>152.47874316279558</v>
      </c>
      <c r="P130" s="117">
        <f t="shared" ref="P130" si="83">P96-O96</f>
        <v>146.24097639704496</v>
      </c>
      <c r="Q130" s="117">
        <f t="shared" ref="Q130" si="84">Q96-P96</f>
        <v>138.19772269520718</v>
      </c>
      <c r="R130" s="117">
        <f t="shared" ref="R130" si="85">R96-Q96</f>
        <v>136.39347464890807</v>
      </c>
      <c r="S130" s="117">
        <f t="shared" ref="S130" si="86">S96-R96</f>
        <v>133.8260680672829</v>
      </c>
    </row>
    <row r="131" spans="1:19">
      <c r="B131" s="54" t="s">
        <v>606</v>
      </c>
      <c r="C131" s="54"/>
      <c r="D131" s="117">
        <f>D91-BS!F22</f>
        <v>3</v>
      </c>
      <c r="E131" s="117">
        <f t="shared" ref="E131:N131" si="87">E91-D91</f>
        <v>71</v>
      </c>
      <c r="F131" s="117">
        <f t="shared" si="87"/>
        <v>144</v>
      </c>
      <c r="G131" s="117">
        <f t="shared" si="87"/>
        <v>67</v>
      </c>
      <c r="H131" s="117">
        <f t="shared" si="87"/>
        <v>5</v>
      </c>
      <c r="I131" s="117">
        <f t="shared" si="87"/>
        <v>194.71154849315076</v>
      </c>
      <c r="J131" s="117">
        <f t="shared" si="87"/>
        <v>25.850524931506698</v>
      </c>
      <c r="K131" s="117">
        <f t="shared" si="87"/>
        <v>101.07555248219171</v>
      </c>
      <c r="L131" s="117">
        <f t="shared" si="87"/>
        <v>92.751683454246631</v>
      </c>
      <c r="M131" s="117">
        <f t="shared" si="87"/>
        <v>76.210966571572499</v>
      </c>
      <c r="N131" s="117">
        <f t="shared" si="87"/>
        <v>51.876016555960064</v>
      </c>
      <c r="O131" s="117">
        <f t="shared" ref="O131" si="88">O91-N91</f>
        <v>2.0620716580995122</v>
      </c>
      <c r="P131" s="117">
        <f t="shared" ref="P131" si="89">P91-O91</f>
        <v>45.926918207336485</v>
      </c>
      <c r="Q131" s="117">
        <f t="shared" ref="Q131" si="90">Q91-P91</f>
        <v>-9.6446528235406959</v>
      </c>
      <c r="R131" s="117">
        <f t="shared" ref="R131" si="91">R91-Q91</f>
        <v>-70.020179498905122</v>
      </c>
      <c r="S131" s="117">
        <f t="shared" ref="S131" si="92">S91-R91</f>
        <v>35.39201800126466</v>
      </c>
    </row>
    <row r="132" spans="1:19">
      <c r="B132" s="54" t="s">
        <v>81</v>
      </c>
      <c r="C132" s="54"/>
      <c r="D132" s="117">
        <f>D101-BS!F33</f>
        <v>20</v>
      </c>
      <c r="E132" s="117">
        <f t="shared" ref="E132:N132" si="93">E101-D101</f>
        <v>122</v>
      </c>
      <c r="F132" s="117">
        <f t="shared" si="93"/>
        <v>-124</v>
      </c>
      <c r="G132" s="117">
        <f t="shared" si="93"/>
        <v>-39</v>
      </c>
      <c r="H132" s="117">
        <f t="shared" si="93"/>
        <v>47</v>
      </c>
      <c r="I132" s="117">
        <f t="shared" si="93"/>
        <v>55.708832000000001</v>
      </c>
      <c r="J132" s="117">
        <f t="shared" si="93"/>
        <v>28.30632479999997</v>
      </c>
      <c r="K132" s="117">
        <f t="shared" si="93"/>
        <v>36.892576655999989</v>
      </c>
      <c r="L132" s="117">
        <f t="shared" si="93"/>
        <v>33.854364460800014</v>
      </c>
      <c r="M132" s="117">
        <f t="shared" si="93"/>
        <v>27.817002798623946</v>
      </c>
      <c r="N132" s="117">
        <f t="shared" si="93"/>
        <v>18.934746042925497</v>
      </c>
      <c r="O132" s="117">
        <f t="shared" ref="O132" si="94">O101-N101</f>
        <v>18.398261571709213</v>
      </c>
      <c r="P132" s="117">
        <f t="shared" ref="P132" si="95">P101-O101</f>
        <v>17.645605416502917</v>
      </c>
      <c r="Q132" s="117">
        <f t="shared" ref="Q132" si="96">Q101-P101</f>
        <v>16.675097118595261</v>
      </c>
      <c r="R132" s="117">
        <f t="shared" ref="R132" si="97">R101-Q101</f>
        <v>16.457394461769127</v>
      </c>
      <c r="S132" s="117">
        <f t="shared" ref="S132" si="98">S101-R101</f>
        <v>16.147608213077035</v>
      </c>
    </row>
    <row r="133" spans="1:19">
      <c r="B133" s="61" t="s">
        <v>82</v>
      </c>
      <c r="C133" s="61"/>
      <c r="D133" s="172">
        <f t="shared" ref="D133:H133" si="99">SUM(D130:D132)</f>
        <v>-38</v>
      </c>
      <c r="E133" s="172">
        <f t="shared" si="99"/>
        <v>496</v>
      </c>
      <c r="F133" s="172">
        <f t="shared" si="99"/>
        <v>277</v>
      </c>
      <c r="G133" s="172">
        <f t="shared" si="99"/>
        <v>174</v>
      </c>
      <c r="H133" s="172">
        <f t="shared" si="99"/>
        <v>184</v>
      </c>
      <c r="I133" s="172">
        <f t="shared" ref="I133:N133" si="100">SUM(I130:I132)</f>
        <v>404.42038049315079</v>
      </c>
      <c r="J133" s="172">
        <f t="shared" si="100"/>
        <v>487.88541643835595</v>
      </c>
      <c r="K133" s="172">
        <f t="shared" si="100"/>
        <v>435.84372792394493</v>
      </c>
      <c r="L133" s="172">
        <f t="shared" si="100"/>
        <v>355.32590233300215</v>
      </c>
      <c r="M133" s="172">
        <f t="shared" si="100"/>
        <v>314.00232209670236</v>
      </c>
      <c r="N133" s="172">
        <f t="shared" si="100"/>
        <v>108.85317473992296</v>
      </c>
      <c r="O133" s="172">
        <f t="shared" ref="O133:S133" si="101">SUM(O130:O132)</f>
        <v>172.93907639260431</v>
      </c>
      <c r="P133" s="172">
        <f t="shared" si="101"/>
        <v>209.81350002088436</v>
      </c>
      <c r="Q133" s="172">
        <f t="shared" si="101"/>
        <v>145.22816699026174</v>
      </c>
      <c r="R133" s="172">
        <f t="shared" si="101"/>
        <v>82.830689611772073</v>
      </c>
      <c r="S133" s="172">
        <f t="shared" si="101"/>
        <v>185.3656942816246</v>
      </c>
    </row>
    <row r="135" spans="1:19">
      <c r="B135" s="3" t="s">
        <v>607</v>
      </c>
      <c r="C135" s="3"/>
      <c r="D135" s="117">
        <f t="shared" ref="D135:N135" si="102">D116-C116</f>
        <v>1069.3169934640523</v>
      </c>
      <c r="E135" s="117">
        <f t="shared" si="102"/>
        <v>662.36405228758167</v>
      </c>
      <c r="F135" s="117">
        <f t="shared" si="102"/>
        <v>87.273202614379215</v>
      </c>
      <c r="G135" s="117">
        <f t="shared" si="102"/>
        <v>-128.27973856209155</v>
      </c>
      <c r="H135" s="117">
        <f t="shared" si="102"/>
        <v>216.216339869281</v>
      </c>
      <c r="I135" s="117">
        <f t="shared" si="102"/>
        <v>672.78473429172868</v>
      </c>
      <c r="J135" s="117">
        <f t="shared" si="102"/>
        <v>17.371552753972992</v>
      </c>
      <c r="K135" s="117">
        <f t="shared" si="102"/>
        <v>387.23827842147921</v>
      </c>
      <c r="L135" s="117">
        <f t="shared" si="102"/>
        <v>367.15753895363378</v>
      </c>
      <c r="M135" s="117">
        <f t="shared" si="102"/>
        <v>357.69222965713016</v>
      </c>
      <c r="N135" s="117">
        <f t="shared" si="102"/>
        <v>222.54811102506937</v>
      </c>
      <c r="O135" s="117">
        <f t="shared" ref="O135" si="103">O116-N116</f>
        <v>322.59965495599681</v>
      </c>
      <c r="P135" s="117">
        <f t="shared" ref="P135" si="104">P116-O116</f>
        <v>324.38907491708142</v>
      </c>
      <c r="Q135" s="117">
        <f t="shared" ref="Q135" si="105">Q116-P116</f>
        <v>322.74054027405964</v>
      </c>
      <c r="R135" s="117">
        <f t="shared" ref="R135" si="106">R116-Q116</f>
        <v>329.97009588858964</v>
      </c>
      <c r="S135" s="117">
        <f t="shared" ref="S135" si="107">S116-R116</f>
        <v>272.51853860973915</v>
      </c>
    </row>
    <row r="136" spans="1:19">
      <c r="B136" s="61" t="s">
        <v>84</v>
      </c>
      <c r="C136" s="61"/>
      <c r="D136" s="172">
        <f t="shared" ref="D136:N136" si="108">SUM(D135:D135)</f>
        <v>1069.3169934640523</v>
      </c>
      <c r="E136" s="172">
        <f t="shared" si="108"/>
        <v>662.36405228758167</v>
      </c>
      <c r="F136" s="172">
        <f t="shared" si="108"/>
        <v>87.273202614379215</v>
      </c>
      <c r="G136" s="172">
        <f t="shared" si="108"/>
        <v>-128.27973856209155</v>
      </c>
      <c r="H136" s="172">
        <f t="shared" si="108"/>
        <v>216.216339869281</v>
      </c>
      <c r="I136" s="172">
        <f t="shared" si="108"/>
        <v>672.78473429172868</v>
      </c>
      <c r="J136" s="172">
        <f t="shared" si="108"/>
        <v>17.371552753972992</v>
      </c>
      <c r="K136" s="172">
        <f t="shared" si="108"/>
        <v>387.23827842147921</v>
      </c>
      <c r="L136" s="172">
        <f t="shared" si="108"/>
        <v>367.15753895363378</v>
      </c>
      <c r="M136" s="172">
        <f t="shared" si="108"/>
        <v>357.69222965713016</v>
      </c>
      <c r="N136" s="172">
        <f t="shared" si="108"/>
        <v>222.54811102506937</v>
      </c>
      <c r="O136" s="172">
        <f t="shared" ref="O136:S136" si="109">SUM(O135:O135)</f>
        <v>322.59965495599681</v>
      </c>
      <c r="P136" s="172">
        <f t="shared" si="109"/>
        <v>324.38907491708142</v>
      </c>
      <c r="Q136" s="172">
        <f t="shared" si="109"/>
        <v>322.74054027405964</v>
      </c>
      <c r="R136" s="172">
        <f t="shared" si="109"/>
        <v>329.97009588858964</v>
      </c>
      <c r="S136" s="172">
        <f t="shared" si="109"/>
        <v>272.51853860973915</v>
      </c>
    </row>
    <row r="138" spans="1:19">
      <c r="B138" s="72" t="s">
        <v>83</v>
      </c>
      <c r="C138" s="72"/>
      <c r="D138" s="118">
        <f>D133-D136</f>
        <v>-1107.3169934640523</v>
      </c>
      <c r="E138" s="118">
        <f t="shared" ref="E138:N138" si="110">E133-E136</f>
        <v>-166.36405228758167</v>
      </c>
      <c r="F138" s="118">
        <f t="shared" si="110"/>
        <v>189.72679738562078</v>
      </c>
      <c r="G138" s="118">
        <f t="shared" si="110"/>
        <v>302.27973856209155</v>
      </c>
      <c r="H138" s="118">
        <f t="shared" si="110"/>
        <v>-32.216339869281001</v>
      </c>
      <c r="I138" s="118">
        <f t="shared" si="110"/>
        <v>-268.36435379857789</v>
      </c>
      <c r="J138" s="118">
        <f t="shared" si="110"/>
        <v>470.51386368438295</v>
      </c>
      <c r="K138" s="118">
        <f t="shared" si="110"/>
        <v>48.605449502465717</v>
      </c>
      <c r="L138" s="118">
        <f t="shared" si="110"/>
        <v>-11.831636620631627</v>
      </c>
      <c r="M138" s="118">
        <f t="shared" si="110"/>
        <v>-43.689907560427798</v>
      </c>
      <c r="N138" s="118">
        <f t="shared" si="110"/>
        <v>-113.69493628514641</v>
      </c>
      <c r="O138" s="118">
        <f t="shared" ref="O138:S138" si="111">O133-O136</f>
        <v>-149.66057856339251</v>
      </c>
      <c r="P138" s="118">
        <f t="shared" si="111"/>
        <v>-114.57557489619705</v>
      </c>
      <c r="Q138" s="118">
        <f t="shared" si="111"/>
        <v>-177.5123732837979</v>
      </c>
      <c r="R138" s="118">
        <f t="shared" si="111"/>
        <v>-247.13940627681757</v>
      </c>
      <c r="S138" s="118">
        <f t="shared" si="111"/>
        <v>-87.152844328114554</v>
      </c>
    </row>
    <row r="140" spans="1:19" ht="18">
      <c r="A140" t="s">
        <v>29</v>
      </c>
      <c r="B140" s="16" t="s">
        <v>52</v>
      </c>
      <c r="C140" s="16"/>
      <c r="D140" s="14"/>
      <c r="E140" s="14"/>
      <c r="F140" s="14"/>
      <c r="G140" s="14"/>
      <c r="H140" s="14"/>
      <c r="I140" s="14"/>
      <c r="J140" s="14"/>
      <c r="K140" s="14"/>
      <c r="L140" s="14"/>
      <c r="M140" s="14"/>
      <c r="N140" s="14"/>
      <c r="O140" s="14"/>
      <c r="P140" s="14"/>
      <c r="Q140" s="14"/>
      <c r="R140" s="14"/>
      <c r="S140" s="14"/>
    </row>
    <row r="142" spans="1:19">
      <c r="B142" t="s">
        <v>614</v>
      </c>
      <c r="D142" s="117">
        <f t="shared" ref="D142:S142" si="112">D143*D11</f>
        <v>157.70588235294119</v>
      </c>
      <c r="E142" s="117">
        <f t="shared" si="112"/>
        <v>325.05882352941177</v>
      </c>
      <c r="F142" s="117">
        <f t="shared" si="112"/>
        <v>147.1764705882353</v>
      </c>
      <c r="G142" s="117">
        <f t="shared" si="112"/>
        <v>86.941176470588232</v>
      </c>
      <c r="H142" s="117">
        <f t="shared" si="112"/>
        <v>135.23529411764707</v>
      </c>
      <c r="I142" s="117">
        <f t="shared" si="112"/>
        <v>150.96706560000001</v>
      </c>
      <c r="J142" s="117">
        <f t="shared" si="112"/>
        <v>173.61212543999997</v>
      </c>
      <c r="K142" s="117">
        <f t="shared" si="112"/>
        <v>203.12618676479997</v>
      </c>
      <c r="L142" s="117">
        <f t="shared" si="112"/>
        <v>230.20967833343997</v>
      </c>
      <c r="M142" s="117">
        <f t="shared" si="112"/>
        <v>252.46328057233913</v>
      </c>
      <c r="N142" s="117">
        <f t="shared" si="112"/>
        <v>267.6110774066795</v>
      </c>
      <c r="O142" s="117">
        <f t="shared" si="112"/>
        <v>282.3296866640469</v>
      </c>
      <c r="P142" s="117">
        <f t="shared" si="112"/>
        <v>296.44617099724928</v>
      </c>
      <c r="Q142" s="117">
        <f t="shared" si="112"/>
        <v>309.78624869212541</v>
      </c>
      <c r="R142" s="117">
        <f t="shared" si="112"/>
        <v>322.95216426154076</v>
      </c>
      <c r="S142" s="117">
        <f t="shared" si="112"/>
        <v>335.8702508320024</v>
      </c>
    </row>
    <row r="143" spans="1:19">
      <c r="B143" s="40" t="s">
        <v>611</v>
      </c>
      <c r="C143" s="40"/>
      <c r="D143" s="274">
        <f>'Control Sheet'!C106</f>
        <v>1.7228084154789294E-2</v>
      </c>
      <c r="E143" s="274">
        <f>'Control Sheet'!D106</f>
        <v>3.7277388019427954E-2</v>
      </c>
      <c r="F143" s="274">
        <f>'Control Sheet'!E106</f>
        <v>1.4291752824648991E-2</v>
      </c>
      <c r="G143" s="274">
        <f>'Control Sheet'!F106</f>
        <v>6.0200232980603952E-3</v>
      </c>
      <c r="H143" s="274">
        <f>'Control Sheet'!G106</f>
        <v>8.1782350095335674E-3</v>
      </c>
      <c r="I143" s="274">
        <f>'Control Sheet'!H109</f>
        <v>8.0000000000000002E-3</v>
      </c>
      <c r="J143" s="274">
        <f>'Control Sheet'!I109</f>
        <v>8.0000000000000002E-3</v>
      </c>
      <c r="K143" s="274">
        <f>'Control Sheet'!J109</f>
        <v>8.0000000000000002E-3</v>
      </c>
      <c r="L143" s="274">
        <f>'Control Sheet'!K109</f>
        <v>8.0000000000000002E-3</v>
      </c>
      <c r="M143" s="274">
        <f>'Control Sheet'!L109</f>
        <v>8.0000000000000002E-3</v>
      </c>
      <c r="N143" s="274">
        <f>'Control Sheet'!M109</f>
        <v>8.0000000000000002E-3</v>
      </c>
      <c r="O143" s="274">
        <f>'Control Sheet'!N109</f>
        <v>8.0000000000000002E-3</v>
      </c>
      <c r="P143" s="274">
        <f>'Control Sheet'!O109</f>
        <v>8.0000000000000002E-3</v>
      </c>
      <c r="Q143" s="274">
        <f>'Control Sheet'!P109</f>
        <v>8.0000000000000002E-3</v>
      </c>
      <c r="R143" s="274">
        <f>'Control Sheet'!Q109</f>
        <v>8.0000000000000002E-3</v>
      </c>
      <c r="S143" s="274">
        <f>'Control Sheet'!R109</f>
        <v>8.0000000000000002E-3</v>
      </c>
    </row>
    <row r="144" spans="1:19">
      <c r="I144" s="37"/>
      <c r="J144" s="37"/>
      <c r="K144" s="37"/>
      <c r="L144" s="37"/>
      <c r="M144" s="37"/>
    </row>
    <row r="145" spans="1:19">
      <c r="B145" t="s">
        <v>612</v>
      </c>
      <c r="D145" s="117">
        <f t="shared" ref="D145:N145" si="113">D120</f>
        <v>301.70588235294122</v>
      </c>
      <c r="E145" s="117">
        <f t="shared" si="113"/>
        <v>482.05882352941182</v>
      </c>
      <c r="F145" s="117">
        <f t="shared" si="113"/>
        <v>206.1764705882353</v>
      </c>
      <c r="G145" s="117">
        <f t="shared" si="113"/>
        <v>156.94117647058823</v>
      </c>
      <c r="H145" s="117">
        <f t="shared" si="113"/>
        <v>84.235294117647058</v>
      </c>
      <c r="I145" s="117">
        <f t="shared" si="113"/>
        <v>377.417664</v>
      </c>
      <c r="J145" s="117">
        <f t="shared" si="113"/>
        <v>434.03031359999994</v>
      </c>
      <c r="K145" s="117">
        <f t="shared" si="113"/>
        <v>507.81546691199992</v>
      </c>
      <c r="L145" s="117">
        <f t="shared" si="113"/>
        <v>575.52419583359995</v>
      </c>
      <c r="M145" s="117">
        <f t="shared" si="113"/>
        <v>631.15820143084784</v>
      </c>
      <c r="N145" s="117">
        <f t="shared" si="113"/>
        <v>669.02769351669883</v>
      </c>
      <c r="O145" s="117">
        <f t="shared" ref="O145:S145" si="114">O120</f>
        <v>705.82421666011726</v>
      </c>
      <c r="P145" s="117">
        <f t="shared" si="114"/>
        <v>741.11542749312309</v>
      </c>
      <c r="Q145" s="117">
        <f t="shared" si="114"/>
        <v>774.46562173031361</v>
      </c>
      <c r="R145" s="117">
        <f t="shared" si="114"/>
        <v>807.38041065385187</v>
      </c>
      <c r="S145" s="117">
        <f t="shared" si="114"/>
        <v>839.67562708000594</v>
      </c>
    </row>
    <row r="146" spans="1:19">
      <c r="B146" s="24" t="s">
        <v>595</v>
      </c>
      <c r="C146" s="24"/>
      <c r="D146" s="172">
        <f>SUM(D145,D142)</f>
        <v>459.41176470588243</v>
      </c>
      <c r="E146" s="172">
        <f t="shared" ref="E146:N146" si="115">SUM(E145,E142)</f>
        <v>807.11764705882365</v>
      </c>
      <c r="F146" s="172">
        <f t="shared" si="115"/>
        <v>353.35294117647061</v>
      </c>
      <c r="G146" s="172">
        <f t="shared" si="115"/>
        <v>243.88235294117646</v>
      </c>
      <c r="H146" s="172">
        <f t="shared" si="115"/>
        <v>219.47058823529414</v>
      </c>
      <c r="I146" s="172">
        <f t="shared" si="115"/>
        <v>528.38472960000001</v>
      </c>
      <c r="J146" s="172">
        <f t="shared" si="115"/>
        <v>607.64243903999989</v>
      </c>
      <c r="K146" s="172">
        <f t="shared" si="115"/>
        <v>710.94165367679989</v>
      </c>
      <c r="L146" s="172">
        <f t="shared" si="115"/>
        <v>805.73387416703986</v>
      </c>
      <c r="M146" s="172">
        <f t="shared" si="115"/>
        <v>883.621482003187</v>
      </c>
      <c r="N146" s="172">
        <f t="shared" si="115"/>
        <v>936.63877092337839</v>
      </c>
      <c r="O146" s="172">
        <f t="shared" ref="O146:S146" si="116">SUM(O145,O142)</f>
        <v>988.15390332416416</v>
      </c>
      <c r="P146" s="172">
        <f t="shared" si="116"/>
        <v>1037.5615984903725</v>
      </c>
      <c r="Q146" s="172">
        <f t="shared" si="116"/>
        <v>1084.251870422439</v>
      </c>
      <c r="R146" s="172">
        <f t="shared" si="116"/>
        <v>1130.3325749153926</v>
      </c>
      <c r="S146" s="172">
        <f t="shared" si="116"/>
        <v>1175.5458779120083</v>
      </c>
    </row>
    <row r="147" spans="1:19">
      <c r="B147" s="40" t="s">
        <v>615</v>
      </c>
      <c r="C147" s="40"/>
      <c r="D147" s="202">
        <f>D142/D146</f>
        <v>0.3432778489116517</v>
      </c>
      <c r="E147" s="202">
        <f t="shared" ref="E147:N147" si="117">E142/E146</f>
        <v>0.4027403250491946</v>
      </c>
      <c r="F147" s="202">
        <f t="shared" si="117"/>
        <v>0.41651406692192444</v>
      </c>
      <c r="G147" s="202">
        <f t="shared" si="117"/>
        <v>0.356488181379643</v>
      </c>
      <c r="H147" s="202">
        <f t="shared" si="117"/>
        <v>0.61618868935942106</v>
      </c>
      <c r="I147" s="202">
        <f t="shared" si="117"/>
        <v>0.28571428571428575</v>
      </c>
      <c r="J147" s="202">
        <f t="shared" si="117"/>
        <v>0.2857142857142857</v>
      </c>
      <c r="K147" s="202">
        <f t="shared" si="117"/>
        <v>0.2857142857142857</v>
      </c>
      <c r="L147" s="202">
        <f t="shared" si="117"/>
        <v>0.2857142857142857</v>
      </c>
      <c r="M147" s="202">
        <f t="shared" si="117"/>
        <v>0.2857142857142857</v>
      </c>
      <c r="N147" s="202">
        <f t="shared" si="117"/>
        <v>0.2857142857142857</v>
      </c>
      <c r="O147" s="202">
        <f t="shared" ref="O147:S147" si="118">O142/O146</f>
        <v>0.2857142857142857</v>
      </c>
      <c r="P147" s="202">
        <f t="shared" si="118"/>
        <v>0.2857142857142857</v>
      </c>
      <c r="Q147" s="202">
        <f t="shared" si="118"/>
        <v>0.2857142857142857</v>
      </c>
      <c r="R147" s="202">
        <f t="shared" si="118"/>
        <v>0.28571428571428575</v>
      </c>
      <c r="S147" s="202">
        <f t="shared" si="118"/>
        <v>0.28571428571428575</v>
      </c>
    </row>
    <row r="148" spans="1:19">
      <c r="B148" s="40" t="s">
        <v>616</v>
      </c>
      <c r="C148" s="40"/>
      <c r="D148" s="202">
        <f>D145/D146</f>
        <v>0.65672215108834819</v>
      </c>
      <c r="E148" s="202">
        <f t="shared" ref="E148:N148" si="119">E145/E146</f>
        <v>0.59725967495080534</v>
      </c>
      <c r="F148" s="202">
        <f t="shared" si="119"/>
        <v>0.58348593307807561</v>
      </c>
      <c r="G148" s="202">
        <f t="shared" si="119"/>
        <v>0.643511818620357</v>
      </c>
      <c r="H148" s="202">
        <f t="shared" si="119"/>
        <v>0.38381131064057888</v>
      </c>
      <c r="I148" s="202">
        <f t="shared" si="119"/>
        <v>0.7142857142857143</v>
      </c>
      <c r="J148" s="202">
        <f t="shared" si="119"/>
        <v>0.7142857142857143</v>
      </c>
      <c r="K148" s="202">
        <f t="shared" si="119"/>
        <v>0.7142857142857143</v>
      </c>
      <c r="L148" s="202">
        <f t="shared" si="119"/>
        <v>0.7142857142857143</v>
      </c>
      <c r="M148" s="202">
        <f t="shared" si="119"/>
        <v>0.7142857142857143</v>
      </c>
      <c r="N148" s="202">
        <f t="shared" si="119"/>
        <v>0.7142857142857143</v>
      </c>
      <c r="O148" s="202">
        <f t="shared" ref="O148:S148" si="120">O145/O146</f>
        <v>0.7142857142857143</v>
      </c>
      <c r="P148" s="202">
        <f t="shared" si="120"/>
        <v>0.71428571428571419</v>
      </c>
      <c r="Q148" s="202">
        <f t="shared" si="120"/>
        <v>0.7142857142857143</v>
      </c>
      <c r="R148" s="202">
        <f t="shared" si="120"/>
        <v>0.7142857142857143</v>
      </c>
      <c r="S148" s="202">
        <f t="shared" si="120"/>
        <v>0.7142857142857143</v>
      </c>
    </row>
    <row r="149" spans="1:19">
      <c r="D149" s="117"/>
      <c r="E149" s="117"/>
      <c r="F149" s="117"/>
      <c r="G149" s="117"/>
      <c r="H149" s="117"/>
      <c r="I149" s="117"/>
      <c r="J149" s="117"/>
      <c r="K149" s="117"/>
      <c r="L149" s="117"/>
      <c r="M149" s="117"/>
      <c r="N149" s="117"/>
      <c r="O149" s="117"/>
      <c r="P149" s="117"/>
      <c r="Q149" s="117"/>
      <c r="R149" s="117"/>
      <c r="S149" s="117"/>
    </row>
    <row r="150" spans="1:19" ht="18">
      <c r="A150" t="s">
        <v>29</v>
      </c>
      <c r="B150" s="16" t="s">
        <v>53</v>
      </c>
      <c r="C150" s="16"/>
      <c r="D150" s="14"/>
      <c r="E150" s="14"/>
      <c r="F150" s="14"/>
      <c r="G150" s="14"/>
      <c r="H150" s="14"/>
      <c r="I150" s="14"/>
      <c r="J150" s="14"/>
      <c r="K150" s="14"/>
      <c r="L150" s="14"/>
      <c r="M150" s="14"/>
      <c r="N150" s="14"/>
      <c r="O150" s="14"/>
      <c r="P150" s="14"/>
      <c r="Q150" s="14"/>
      <c r="R150" s="14"/>
      <c r="S150" s="14"/>
    </row>
    <row r="152" spans="1:19">
      <c r="B152" t="s">
        <v>620</v>
      </c>
      <c r="D152" s="77">
        <f>'Control Sheet'!C122</f>
        <v>4.1357234314980784E-2</v>
      </c>
      <c r="E152" s="77">
        <f>'Control Sheet'!D122</f>
        <v>1.9823628015450769E-2</v>
      </c>
      <c r="F152" s="77">
        <f>'Control Sheet'!E122</f>
        <v>5.3770600965540198E-2</v>
      </c>
      <c r="G152" s="77">
        <f>'Control Sheet'!F122</f>
        <v>0.11480945489628558</v>
      </c>
      <c r="H152" s="77">
        <f>'Control Sheet'!G122</f>
        <v>0.23237737871884209</v>
      </c>
      <c r="I152" s="77">
        <f>'Control Sheet'!H125</f>
        <v>6.83E-2</v>
      </c>
      <c r="J152" s="77">
        <f>'Control Sheet'!I125</f>
        <v>6.83E-2</v>
      </c>
      <c r="K152" s="77">
        <f>'Control Sheet'!J125</f>
        <v>6.83E-2</v>
      </c>
      <c r="L152" s="77">
        <f>'Control Sheet'!K125</f>
        <v>6.83E-2</v>
      </c>
      <c r="M152" s="77">
        <f>'Control Sheet'!L125</f>
        <v>6.83E-2</v>
      </c>
      <c r="N152" s="77">
        <f>'Control Sheet'!M125</f>
        <v>6.83E-2</v>
      </c>
      <c r="O152" s="77">
        <f>'Control Sheet'!N125</f>
        <v>6.83E-2</v>
      </c>
      <c r="P152" s="77">
        <f>'Control Sheet'!O125</f>
        <v>6.83E-2</v>
      </c>
      <c r="Q152" s="77">
        <f>'Control Sheet'!P125</f>
        <v>6.83E-2</v>
      </c>
      <c r="R152" s="77">
        <f>'Control Sheet'!Q125</f>
        <v>6.83E-2</v>
      </c>
      <c r="S152" s="77">
        <f>'Control Sheet'!R125</f>
        <v>6.83E-2</v>
      </c>
    </row>
    <row r="153" spans="1:19">
      <c r="B153" t="s">
        <v>621</v>
      </c>
      <c r="E153" s="117">
        <f t="shared" ref="E153:N153" si="121">AVERAGE(D145:E145)</f>
        <v>391.88235294117652</v>
      </c>
      <c r="F153" s="117">
        <f t="shared" si="121"/>
        <v>344.11764705882354</v>
      </c>
      <c r="G153" s="117">
        <f t="shared" si="121"/>
        <v>181.55882352941177</v>
      </c>
      <c r="H153" s="117">
        <f t="shared" si="121"/>
        <v>120.58823529411765</v>
      </c>
      <c r="I153" s="117">
        <f t="shared" si="121"/>
        <v>230.82647905882354</v>
      </c>
      <c r="J153" s="117">
        <f t="shared" si="121"/>
        <v>405.72398879999997</v>
      </c>
      <c r="K153" s="117">
        <f t="shared" si="121"/>
        <v>470.92289025599996</v>
      </c>
      <c r="L153" s="117">
        <f t="shared" si="121"/>
        <v>541.66983137279999</v>
      </c>
      <c r="M153" s="117">
        <f t="shared" si="121"/>
        <v>603.34119863222395</v>
      </c>
      <c r="N153" s="117">
        <f t="shared" si="121"/>
        <v>650.09294747377339</v>
      </c>
      <c r="O153" s="117">
        <f t="shared" ref="O153" si="122">AVERAGE(N145:O145)</f>
        <v>687.42595508840805</v>
      </c>
      <c r="P153" s="117">
        <f t="shared" ref="P153" si="123">AVERAGE(O145:P145)</f>
        <v>723.46982207662018</v>
      </c>
      <c r="Q153" s="117">
        <f t="shared" ref="Q153" si="124">AVERAGE(P145:Q145)</f>
        <v>757.79052461171841</v>
      </c>
      <c r="R153" s="117">
        <f t="shared" ref="R153" si="125">AVERAGE(Q145:R145)</f>
        <v>790.92301619208274</v>
      </c>
      <c r="S153" s="117">
        <f t="shared" ref="S153" si="126">AVERAGE(R145:S145)</f>
        <v>823.52801886692896</v>
      </c>
    </row>
    <row r="154" spans="1:19">
      <c r="B154" s="24" t="s">
        <v>117</v>
      </c>
      <c r="C154" s="24"/>
      <c r="D154" s="275"/>
      <c r="E154" s="275">
        <f t="shared" ref="E154:N154" si="127">E153*E152</f>
        <v>7.7685299905254723</v>
      </c>
      <c r="F154" s="275">
        <f t="shared" si="127"/>
        <v>18.503412685200598</v>
      </c>
      <c r="G154" s="275">
        <f t="shared" si="127"/>
        <v>20.844669561022673</v>
      </c>
      <c r="H154" s="275">
        <f t="shared" si="127"/>
        <v>28.021978021978018</v>
      </c>
      <c r="I154" s="275">
        <f t="shared" si="127"/>
        <v>15.765448519717648</v>
      </c>
      <c r="J154" s="275">
        <f t="shared" si="127"/>
        <v>27.710948435039999</v>
      </c>
      <c r="K154" s="275">
        <f t="shared" si="127"/>
        <v>32.164033404484798</v>
      </c>
      <c r="L154" s="275">
        <f t="shared" si="127"/>
        <v>36.996049482762238</v>
      </c>
      <c r="M154" s="275">
        <f t="shared" si="127"/>
        <v>41.208203866580895</v>
      </c>
      <c r="N154" s="275">
        <f t="shared" si="127"/>
        <v>44.401348312458722</v>
      </c>
      <c r="O154" s="275">
        <f t="shared" ref="O154:S154" si="128">O153*O152</f>
        <v>46.951192732538267</v>
      </c>
      <c r="P154" s="275">
        <f t="shared" si="128"/>
        <v>49.412988847833155</v>
      </c>
      <c r="Q154" s="275">
        <f t="shared" si="128"/>
        <v>51.757092830980369</v>
      </c>
      <c r="R154" s="275">
        <f t="shared" si="128"/>
        <v>54.020042005919251</v>
      </c>
      <c r="S154" s="275">
        <f t="shared" si="128"/>
        <v>56.246963688611245</v>
      </c>
    </row>
    <row r="155" spans="1:19">
      <c r="H155" s="51"/>
      <c r="I155" s="45"/>
      <c r="J155" s="45"/>
      <c r="K155" s="45"/>
      <c r="L155" s="45"/>
      <c r="M155" s="45"/>
    </row>
    <row r="156" spans="1:19">
      <c r="H156" s="51"/>
      <c r="I156" s="45"/>
      <c r="J156" s="45"/>
      <c r="K156" s="45"/>
      <c r="L156" s="45"/>
      <c r="M156" s="45"/>
    </row>
    <row r="157" spans="1:19">
      <c r="H157" s="51"/>
      <c r="I157" s="45"/>
      <c r="J157" s="45"/>
      <c r="K157" s="45"/>
      <c r="L157" s="45"/>
      <c r="M157" s="45"/>
    </row>
    <row r="158" spans="1:19">
      <c r="H158" s="51"/>
      <c r="I158" s="45"/>
      <c r="J158" s="45"/>
      <c r="K158" s="45"/>
      <c r="L158" s="45"/>
      <c r="M158" s="45"/>
    </row>
    <row r="159" spans="1:19">
      <c r="H159" s="51"/>
      <c r="I159" s="45"/>
      <c r="J159" s="45"/>
      <c r="K159" s="45"/>
      <c r="L159" s="45"/>
      <c r="M159" s="45"/>
    </row>
    <row r="160" spans="1:19">
      <c r="H160" s="51"/>
      <c r="I160" s="45"/>
      <c r="J160" s="45"/>
      <c r="K160" s="45"/>
      <c r="L160" s="45"/>
      <c r="M160" s="45"/>
    </row>
    <row r="161" spans="8:13">
      <c r="H161" s="51"/>
      <c r="I161" s="45"/>
      <c r="J161" s="45"/>
      <c r="K161" s="45"/>
      <c r="L161" s="45"/>
      <c r="M161" s="45"/>
    </row>
  </sheetData>
  <sheetProtection algorithmName="SHA-512" hashValue="fN6qmTCEG6R++zS11STIka1/jYC9sv5uNbiCjJiWSOqmRALuDrxkFRiM0xUlglcwfmjFa9kh79mfy+WYbAf53Q==" saltValue="0Aqc6f9GhYlqH0MMi49gjg==" spinCount="100000" sheet="1" objects="1" scenarios="1"/>
  <mergeCells count="3">
    <mergeCell ref="D6:H6"/>
    <mergeCell ref="I6:N6"/>
    <mergeCell ref="O6:S6"/>
  </mergeCells>
  <pageMargins left="0.7" right="0.7" top="0.75" bottom="0.75" header="0.3" footer="0.3"/>
  <pageSetup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56D71-B789-40CA-A60B-282AD2A22C95}">
  <dimension ref="A2:V152"/>
  <sheetViews>
    <sheetView showGridLines="0" zoomScaleNormal="100" workbookViewId="0">
      <pane xSplit="3" ySplit="6" topLeftCell="D93" activePane="bottomRight" state="frozen"/>
      <selection pane="topRight" activeCell="D1" sqref="D1"/>
      <selection pane="bottomLeft" activeCell="A7" sqref="A7"/>
      <selection pane="bottomRight" activeCell="D127" sqref="D127"/>
    </sheetView>
  </sheetViews>
  <sheetFormatPr defaultRowHeight="14.4"/>
  <cols>
    <col min="1" max="1" width="2.5546875" customWidth="1"/>
    <col min="2" max="2" width="40.5546875" customWidth="1"/>
    <col min="3" max="3" width="8.6640625" customWidth="1"/>
    <col min="4" max="19" width="11.88671875" customWidth="1"/>
    <col min="20" max="20" width="4.44140625" customWidth="1"/>
    <col min="21" max="21" width="11.109375" customWidth="1"/>
    <col min="22" max="22" width="10.6640625" customWidth="1"/>
  </cols>
  <sheetData>
    <row r="2" spans="1:22" ht="21">
      <c r="B2" s="10" t="str">
        <f>'Input Sheet'!C4</f>
        <v>Eicher Motors Ltd.</v>
      </c>
    </row>
    <row r="3" spans="1:22" ht="18">
      <c r="B3" s="15" t="s">
        <v>54</v>
      </c>
    </row>
    <row r="4" spans="1:22">
      <c r="U4" s="429" t="s">
        <v>984</v>
      </c>
      <c r="V4" s="429"/>
    </row>
    <row r="5" spans="1:22" ht="15.6">
      <c r="D5" s="428" t="s">
        <v>27</v>
      </c>
      <c r="E5" s="428"/>
      <c r="F5" s="428"/>
      <c r="G5" s="428"/>
      <c r="H5" s="428"/>
      <c r="I5" s="424" t="s">
        <v>28</v>
      </c>
      <c r="J5" s="424"/>
      <c r="K5" s="424"/>
      <c r="L5" s="424"/>
      <c r="M5" s="424"/>
      <c r="N5" s="424"/>
      <c r="O5" s="426" t="s">
        <v>983</v>
      </c>
      <c r="P5" s="426"/>
      <c r="Q5" s="426"/>
      <c r="R5" s="426"/>
      <c r="S5" s="426"/>
      <c r="U5" s="385" t="s">
        <v>59</v>
      </c>
      <c r="V5" s="385" t="s">
        <v>60</v>
      </c>
    </row>
    <row r="6" spans="1:22">
      <c r="B6" s="12" t="s">
        <v>26</v>
      </c>
      <c r="C6" s="11"/>
      <c r="D6" s="52">
        <f>'Control Sheet'!C7</f>
        <v>2020</v>
      </c>
      <c r="E6" s="52">
        <f>'Control Sheet'!D7</f>
        <v>2021</v>
      </c>
      <c r="F6" s="52">
        <f>'Control Sheet'!E7</f>
        <v>2022</v>
      </c>
      <c r="G6" s="52">
        <f>'Control Sheet'!F7</f>
        <v>2023</v>
      </c>
      <c r="H6" s="52">
        <f>'Control Sheet'!G7</f>
        <v>2024</v>
      </c>
      <c r="I6" s="13">
        <f t="shared" ref="I6:N6" si="0">H6+1</f>
        <v>2025</v>
      </c>
      <c r="J6" s="13">
        <f t="shared" si="0"/>
        <v>2026</v>
      </c>
      <c r="K6" s="13">
        <f t="shared" si="0"/>
        <v>2027</v>
      </c>
      <c r="L6" s="13">
        <f t="shared" si="0"/>
        <v>2028</v>
      </c>
      <c r="M6" s="13">
        <f t="shared" si="0"/>
        <v>2029</v>
      </c>
      <c r="N6" s="13">
        <f t="shared" si="0"/>
        <v>2030</v>
      </c>
      <c r="O6" s="13">
        <f t="shared" ref="O6" si="1">N6+1</f>
        <v>2031</v>
      </c>
      <c r="P6" s="13">
        <f t="shared" ref="P6" si="2">O6+1</f>
        <v>2032</v>
      </c>
      <c r="Q6" s="13">
        <f t="shared" ref="Q6" si="3">P6+1</f>
        <v>2033</v>
      </c>
      <c r="R6" s="13">
        <f t="shared" ref="R6" si="4">Q6+1</f>
        <v>2034</v>
      </c>
      <c r="S6" s="13">
        <f t="shared" ref="S6" si="5">R6+1</f>
        <v>2035</v>
      </c>
    </row>
    <row r="7" spans="1:22">
      <c r="B7" s="66"/>
      <c r="D7" s="67"/>
      <c r="E7" s="67"/>
      <c r="F7" s="67"/>
      <c r="G7" s="68"/>
      <c r="H7" s="68"/>
      <c r="I7" s="68"/>
      <c r="J7" s="68"/>
      <c r="K7" s="68"/>
      <c r="L7" s="68"/>
      <c r="M7" s="68"/>
      <c r="N7" s="68"/>
      <c r="O7" s="68"/>
      <c r="P7" s="68"/>
      <c r="Q7" s="68"/>
      <c r="R7" s="68"/>
      <c r="S7" s="68"/>
    </row>
    <row r="8" spans="1:22" ht="15.9" customHeight="1">
      <c r="A8" t="s">
        <v>29</v>
      </c>
      <c r="B8" s="16" t="s">
        <v>67</v>
      </c>
      <c r="C8" s="69"/>
      <c r="D8" s="70"/>
      <c r="E8" s="70"/>
      <c r="F8" s="70"/>
      <c r="G8" s="70"/>
      <c r="H8" s="70"/>
      <c r="I8" s="70"/>
      <c r="J8" s="70"/>
      <c r="K8" s="70"/>
      <c r="L8" s="70"/>
      <c r="M8" s="70"/>
      <c r="N8" s="70"/>
      <c r="O8" s="70"/>
      <c r="P8" s="70"/>
      <c r="Q8" s="70"/>
      <c r="R8" s="70"/>
      <c r="S8" s="70"/>
    </row>
    <row r="10" spans="1:22">
      <c r="B10" s="53" t="s">
        <v>0</v>
      </c>
      <c r="D10" s="147">
        <f>Schedules!D11</f>
        <v>9154</v>
      </c>
      <c r="E10" s="147">
        <f>Schedules!E11</f>
        <v>8720</v>
      </c>
      <c r="F10" s="147">
        <f>Schedules!F11</f>
        <v>10298</v>
      </c>
      <c r="G10" s="147">
        <f>Schedules!G11</f>
        <v>14442</v>
      </c>
      <c r="H10" s="147">
        <f>Schedules!H11</f>
        <v>16536</v>
      </c>
      <c r="I10" s="147">
        <f>Schedules!I11</f>
        <v>18870.8832</v>
      </c>
      <c r="J10" s="147">
        <f>Schedules!J11</f>
        <v>21701.515679999997</v>
      </c>
      <c r="K10" s="147">
        <f>Schedules!K11</f>
        <v>25390.773345599995</v>
      </c>
      <c r="L10" s="147">
        <f>Schedules!L11</f>
        <v>28776.209791679994</v>
      </c>
      <c r="M10" s="147">
        <f>Schedules!M11</f>
        <v>31557.910071542392</v>
      </c>
      <c r="N10" s="147">
        <f>Schedules!N11</f>
        <v>33451.384675834939</v>
      </c>
      <c r="O10" s="147">
        <f>Schedules!O11</f>
        <v>35291.210833005862</v>
      </c>
      <c r="P10" s="147">
        <f>Schedules!P11</f>
        <v>37055.771374656157</v>
      </c>
      <c r="Q10" s="147">
        <f>Schedules!Q11</f>
        <v>38723.281086515679</v>
      </c>
      <c r="R10" s="147">
        <f>Schedules!R11</f>
        <v>40369.020532692593</v>
      </c>
      <c r="S10" s="147">
        <f>Schedules!S11</f>
        <v>41983.781354000297</v>
      </c>
      <c r="U10" s="32">
        <f>_xlfn.RRI($N$6-$I$6,I10,N10)</f>
        <v>0.12130659011217304</v>
      </c>
      <c r="V10" s="32">
        <f>_xlfn.RRI($N$6-$K$6,K10,N10)</f>
        <v>9.6257868572504179E-2</v>
      </c>
    </row>
    <row r="11" spans="1:22">
      <c r="B11" s="56" t="s">
        <v>1</v>
      </c>
      <c r="D11" s="147">
        <f>Schedules!D18</f>
        <v>4996</v>
      </c>
      <c r="E11" s="147">
        <f>Schedules!E18</f>
        <v>5112</v>
      </c>
      <c r="F11" s="147">
        <f>Schedules!F18</f>
        <v>5956</v>
      </c>
      <c r="G11" s="147">
        <f>Schedules!G18</f>
        <v>8212</v>
      </c>
      <c r="H11" s="147">
        <f>Schedules!H18</f>
        <v>8981</v>
      </c>
      <c r="I11" s="147">
        <f>Schedules!I18</f>
        <v>10462.017646079999</v>
      </c>
      <c r="J11" s="147">
        <f>Schedules!J18</f>
        <v>12152.848780799999</v>
      </c>
      <c r="K11" s="147">
        <f>Schedules!K18</f>
        <v>13964.925340079999</v>
      </c>
      <c r="L11" s="147">
        <f>Schedules!L18</f>
        <v>15683.034336465595</v>
      </c>
      <c r="M11" s="147">
        <f>Schedules!M18</f>
        <v>17356.850539348317</v>
      </c>
      <c r="N11" s="147">
        <f>Schedules!N18</f>
        <v>18398.261571709219</v>
      </c>
      <c r="O11" s="147">
        <f>Schedules!O18</f>
        <v>19410.165958153226</v>
      </c>
      <c r="P11" s="147">
        <f>Schedules!P18</f>
        <v>20380.674256060887</v>
      </c>
      <c r="Q11" s="147">
        <f>Schedules!Q18</f>
        <v>21297.804597583625</v>
      </c>
      <c r="R11" s="147">
        <f>Schedules!R18</f>
        <v>22202.961292980926</v>
      </c>
      <c r="S11" s="147">
        <f>Schedules!S18</f>
        <v>23091.079744700164</v>
      </c>
      <c r="U11" s="32">
        <f>_xlfn.RRI($N$6-$I$6,I11,N11)</f>
        <v>0.11952106100219639</v>
      </c>
      <c r="V11" s="32">
        <f>_xlfn.RRI($N$6-$K$6,K11,N11)</f>
        <v>9.6257868572504179E-2</v>
      </c>
    </row>
    <row r="12" spans="1:22">
      <c r="B12" s="61" t="s">
        <v>2</v>
      </c>
      <c r="C12" s="25"/>
      <c r="D12" s="299">
        <f>D10-D11</f>
        <v>4158</v>
      </c>
      <c r="E12" s="299">
        <f t="shared" ref="E12:N12" si="6">E10-E11</f>
        <v>3608</v>
      </c>
      <c r="F12" s="299">
        <f t="shared" si="6"/>
        <v>4342</v>
      </c>
      <c r="G12" s="299">
        <f t="shared" si="6"/>
        <v>6230</v>
      </c>
      <c r="H12" s="299">
        <f t="shared" si="6"/>
        <v>7555</v>
      </c>
      <c r="I12" s="172">
        <f t="shared" si="6"/>
        <v>8408.8655539200008</v>
      </c>
      <c r="J12" s="172">
        <f t="shared" si="6"/>
        <v>9548.6668991999977</v>
      </c>
      <c r="K12" s="172">
        <f t="shared" si="6"/>
        <v>11425.848005519996</v>
      </c>
      <c r="L12" s="172">
        <f t="shared" si="6"/>
        <v>13093.175455214399</v>
      </c>
      <c r="M12" s="172">
        <f t="shared" si="6"/>
        <v>14201.059532194075</v>
      </c>
      <c r="N12" s="172">
        <f t="shared" si="6"/>
        <v>15053.12310412572</v>
      </c>
      <c r="O12" s="172">
        <f t="shared" ref="O12:S12" si="7">O10-O11</f>
        <v>15881.044874852636</v>
      </c>
      <c r="P12" s="172">
        <f t="shared" si="7"/>
        <v>16675.097118595269</v>
      </c>
      <c r="Q12" s="172">
        <f t="shared" si="7"/>
        <v>17425.476488932054</v>
      </c>
      <c r="R12" s="172">
        <f t="shared" si="7"/>
        <v>18166.059239711667</v>
      </c>
      <c r="S12" s="172">
        <f t="shared" si="7"/>
        <v>18892.701609300133</v>
      </c>
    </row>
    <row r="13" spans="1:22">
      <c r="B13" s="1"/>
      <c r="D13" s="118"/>
      <c r="E13" s="118"/>
      <c r="F13" s="118"/>
      <c r="G13" s="118"/>
      <c r="H13" s="118"/>
      <c r="I13" s="118"/>
      <c r="J13" s="118"/>
      <c r="K13" s="118"/>
      <c r="L13" s="118"/>
      <c r="M13" s="118"/>
      <c r="N13" s="118"/>
      <c r="O13" s="118"/>
      <c r="P13" s="118"/>
      <c r="Q13" s="118"/>
      <c r="R13" s="118"/>
      <c r="S13" s="118"/>
    </row>
    <row r="14" spans="1:22">
      <c r="B14" s="184" t="s">
        <v>99</v>
      </c>
      <c r="C14" s="185"/>
      <c r="D14" s="186">
        <f>D12/D10</f>
        <v>0.45422766003932707</v>
      </c>
      <c r="E14" s="186">
        <f t="shared" ref="E14:N14" si="8">E12/E10</f>
        <v>0.41376146788990825</v>
      </c>
      <c r="F14" s="186">
        <f t="shared" si="8"/>
        <v>0.42163526898426879</v>
      </c>
      <c r="G14" s="186">
        <f t="shared" si="8"/>
        <v>0.4313806951945714</v>
      </c>
      <c r="H14" s="186">
        <f t="shared" si="8"/>
        <v>0.45688195452346397</v>
      </c>
      <c r="I14" s="186">
        <f t="shared" si="8"/>
        <v>0.44560000000000005</v>
      </c>
      <c r="J14" s="186">
        <f t="shared" si="8"/>
        <v>0.43999999999999995</v>
      </c>
      <c r="K14" s="186">
        <f t="shared" si="8"/>
        <v>0.44999999999999996</v>
      </c>
      <c r="L14" s="186">
        <f t="shared" si="8"/>
        <v>0.45500000000000007</v>
      </c>
      <c r="M14" s="186">
        <f t="shared" si="8"/>
        <v>0.44999999999999996</v>
      </c>
      <c r="N14" s="186">
        <f t="shared" si="8"/>
        <v>0.4499999999999999</v>
      </c>
      <c r="O14" s="186">
        <f t="shared" ref="O14:S14" si="9">O12/O10</f>
        <v>0.44999999999999996</v>
      </c>
      <c r="P14" s="186">
        <f t="shared" si="9"/>
        <v>0.44999999999999996</v>
      </c>
      <c r="Q14" s="186">
        <f t="shared" si="9"/>
        <v>0.44999999999999996</v>
      </c>
      <c r="R14" s="186">
        <f t="shared" si="9"/>
        <v>0.45</v>
      </c>
      <c r="S14" s="186">
        <f t="shared" si="9"/>
        <v>0.44999999999999996</v>
      </c>
    </row>
    <row r="15" spans="1:22">
      <c r="B15" s="54"/>
      <c r="D15" s="117"/>
      <c r="E15" s="117"/>
      <c r="F15" s="117"/>
      <c r="G15" s="117"/>
      <c r="H15" s="117"/>
      <c r="I15" s="117"/>
      <c r="J15" s="117"/>
      <c r="K15" s="117"/>
      <c r="L15" s="117"/>
      <c r="M15" s="117"/>
      <c r="N15" s="170"/>
      <c r="O15" s="170"/>
      <c r="P15" s="170"/>
      <c r="Q15" s="170"/>
      <c r="R15" s="170"/>
      <c r="S15" s="170"/>
    </row>
    <row r="16" spans="1:22">
      <c r="B16" s="55" t="s">
        <v>55</v>
      </c>
      <c r="D16" s="117"/>
      <c r="E16" s="117"/>
      <c r="F16" s="117"/>
      <c r="G16" s="117"/>
      <c r="H16" s="117"/>
      <c r="I16" s="117"/>
      <c r="J16" s="117"/>
      <c r="K16" s="117"/>
      <c r="L16" s="117"/>
      <c r="M16" s="117"/>
      <c r="N16" s="117"/>
      <c r="O16" s="117"/>
      <c r="P16" s="117"/>
      <c r="Q16" s="117"/>
      <c r="R16" s="117"/>
      <c r="S16" s="117"/>
    </row>
    <row r="17" spans="2:22">
      <c r="B17" s="56" t="str">
        <f>Schedules!B24</f>
        <v>Employee Cost</v>
      </c>
      <c r="D17" s="147">
        <f>Schedules!D26</f>
        <v>796</v>
      </c>
      <c r="E17" s="147">
        <f>Schedules!E26</f>
        <v>843</v>
      </c>
      <c r="F17" s="147">
        <f>Schedules!F26</f>
        <v>821.00000000000011</v>
      </c>
      <c r="G17" s="147">
        <f>Schedules!G26</f>
        <v>1002</v>
      </c>
      <c r="H17" s="147">
        <f>Schedules!H26</f>
        <v>1236</v>
      </c>
      <c r="I17" s="147">
        <f>Schedules!I26</f>
        <v>1358.7035903999999</v>
      </c>
      <c r="J17" s="147">
        <f>Schedules!J26</f>
        <v>1562.5091289599995</v>
      </c>
      <c r="K17" s="147">
        <f>Schedules!K26</f>
        <v>1828.1356808831995</v>
      </c>
      <c r="L17" s="147">
        <f>Schedules!L26</f>
        <v>2071.8871050009593</v>
      </c>
      <c r="M17" s="147">
        <f>Schedules!M26</f>
        <v>2272.1695251510519</v>
      </c>
      <c r="N17" s="147">
        <f>Schedules!N26</f>
        <v>2408.4996966601157</v>
      </c>
      <c r="O17" s="147">
        <f>Schedules!O26</f>
        <v>2540.9671799764219</v>
      </c>
      <c r="P17" s="147">
        <f>Schedules!P26</f>
        <v>2668.0155389752431</v>
      </c>
      <c r="Q17" s="147">
        <f>Schedules!Q26</f>
        <v>2788.0762382291286</v>
      </c>
      <c r="R17" s="147">
        <f>Schedules!R26</f>
        <v>2906.5694783538665</v>
      </c>
      <c r="S17" s="147">
        <f>Schedules!S26</f>
        <v>3022.8322574880212</v>
      </c>
      <c r="U17" s="32">
        <f t="shared" ref="U17:U21" si="10">_xlfn.RRI($N$6-$I$6,I17,N17)</f>
        <v>0.12130659011217326</v>
      </c>
      <c r="V17" s="32">
        <f t="shared" ref="V17:V21" si="11">_xlfn.RRI($N$6-$K$6,K17,N17)</f>
        <v>9.6257868572504179E-2</v>
      </c>
    </row>
    <row r="18" spans="2:22">
      <c r="B18" s="56" t="str">
        <f>Schedules!B28</f>
        <v>Selling &amp; Distribution Cost</v>
      </c>
      <c r="D18" s="147">
        <f>Schedules!D30</f>
        <v>466.99999999999994</v>
      </c>
      <c r="E18" s="147">
        <f>Schedules!E30</f>
        <v>375</v>
      </c>
      <c r="F18" s="147">
        <f>Schedules!F30</f>
        <v>615</v>
      </c>
      <c r="G18" s="147">
        <f>Schedules!G30</f>
        <v>741</v>
      </c>
      <c r="H18" s="147">
        <f>Schedules!H30</f>
        <v>867</v>
      </c>
      <c r="I18" s="147">
        <f>Schedules!I30</f>
        <v>830.31886079999992</v>
      </c>
      <c r="J18" s="147">
        <f>Schedules!J30</f>
        <v>954.86668991999977</v>
      </c>
      <c r="K18" s="147">
        <f>Schedules!K30</f>
        <v>1117.1940272063998</v>
      </c>
      <c r="L18" s="147">
        <f>Schedules!L30</f>
        <v>1266.1532308339197</v>
      </c>
      <c r="M18" s="147">
        <f>Schedules!M30</f>
        <v>1388.5480431478652</v>
      </c>
      <c r="N18" s="147">
        <f>Schedules!N30</f>
        <v>1471.8609257367373</v>
      </c>
      <c r="O18" s="147">
        <f>Schedules!O30</f>
        <v>1552.8132766522579</v>
      </c>
      <c r="P18" s="147">
        <f>Schedules!P30</f>
        <v>1630.4539404848708</v>
      </c>
      <c r="Q18" s="147">
        <f>Schedules!Q30</f>
        <v>1703.8243678066897</v>
      </c>
      <c r="R18" s="147">
        <f>Schedules!R30</f>
        <v>1776.236903438474</v>
      </c>
      <c r="S18" s="147">
        <f>Schedules!S30</f>
        <v>1847.2863795760129</v>
      </c>
      <c r="U18" s="32">
        <f t="shared" si="10"/>
        <v>0.12130659011217326</v>
      </c>
      <c r="V18" s="32">
        <f t="shared" si="11"/>
        <v>9.6257868572503957E-2</v>
      </c>
    </row>
    <row r="19" spans="2:22">
      <c r="B19" s="57" t="str">
        <f>Schedules!B32</f>
        <v>Other Expenses</v>
      </c>
      <c r="D19" s="147">
        <f>Schedules!D34</f>
        <v>268</v>
      </c>
      <c r="E19" s="147">
        <f>Schedules!E34</f>
        <v>259</v>
      </c>
      <c r="F19" s="147">
        <f>Schedules!F34</f>
        <v>344</v>
      </c>
      <c r="G19" s="147">
        <f>Schedules!G34</f>
        <v>412</v>
      </c>
      <c r="H19" s="147">
        <f>Schedules!H34</f>
        <v>432</v>
      </c>
      <c r="I19" s="147">
        <f>Schedules!I34</f>
        <v>528.38472960000001</v>
      </c>
      <c r="J19" s="147">
        <f>Schedules!J34</f>
        <v>607.64243903999989</v>
      </c>
      <c r="K19" s="147">
        <f>Schedules!K34</f>
        <v>710.94165367679989</v>
      </c>
      <c r="L19" s="147">
        <f>Schedules!L34</f>
        <v>805.73387416703986</v>
      </c>
      <c r="M19" s="147">
        <f>Schedules!M34</f>
        <v>883.621482003187</v>
      </c>
      <c r="N19" s="147">
        <f>Schedules!N34</f>
        <v>936.63877092337827</v>
      </c>
      <c r="O19" s="147">
        <f>Schedules!O34</f>
        <v>988.15390332416416</v>
      </c>
      <c r="P19" s="147">
        <f>Schedules!P34</f>
        <v>1037.5615984903725</v>
      </c>
      <c r="Q19" s="147">
        <f>Schedules!Q34</f>
        <v>1084.251870422439</v>
      </c>
      <c r="R19" s="147">
        <f>Schedules!R34</f>
        <v>1130.3325749153926</v>
      </c>
      <c r="S19" s="147">
        <f>Schedules!S34</f>
        <v>1175.5458779120083</v>
      </c>
      <c r="U19" s="32">
        <f t="shared" si="10"/>
        <v>0.12130659011217304</v>
      </c>
      <c r="V19" s="32">
        <f t="shared" si="11"/>
        <v>9.6257868572504179E-2</v>
      </c>
    </row>
    <row r="20" spans="2:22">
      <c r="B20" s="56" t="str">
        <f>Schedules!B36</f>
        <v>Other Misc. Costs</v>
      </c>
      <c r="D20" s="147">
        <f>Schedules!D38</f>
        <v>446.7</v>
      </c>
      <c r="E20" s="147">
        <f>Schedules!E38</f>
        <v>349.9</v>
      </c>
      <c r="F20" s="147">
        <f>Schedules!F38</f>
        <v>388.8</v>
      </c>
      <c r="G20" s="147">
        <f>Schedules!G38</f>
        <v>631.20000000000005</v>
      </c>
      <c r="H20" s="147">
        <f>Schedules!H38</f>
        <v>695.3</v>
      </c>
      <c r="I20" s="147">
        <f>Schedules!I38</f>
        <v>754.835328</v>
      </c>
      <c r="J20" s="147">
        <f>Schedules!J38</f>
        <v>868.06062719999989</v>
      </c>
      <c r="K20" s="147">
        <f>Schedules!K38</f>
        <v>1015.6309338239998</v>
      </c>
      <c r="L20" s="147">
        <f>Schedules!L38</f>
        <v>1151.0483916671999</v>
      </c>
      <c r="M20" s="147">
        <f>Schedules!M38</f>
        <v>1262.3164028616957</v>
      </c>
      <c r="N20" s="147">
        <f>Schedules!N38</f>
        <v>1338.0553870333977</v>
      </c>
      <c r="O20" s="147">
        <f>Schedules!O38</f>
        <v>1411.6484333202345</v>
      </c>
      <c r="P20" s="147">
        <f>Schedules!P38</f>
        <v>1482.2308549862462</v>
      </c>
      <c r="Q20" s="147">
        <f>Schedules!Q38</f>
        <v>1548.9312434606272</v>
      </c>
      <c r="R20" s="147">
        <f>Schedules!R38</f>
        <v>1614.7608213077037</v>
      </c>
      <c r="S20" s="147">
        <f>Schedules!S38</f>
        <v>1679.3512541600119</v>
      </c>
      <c r="U20" s="32">
        <f t="shared" si="10"/>
        <v>0.12130659011217326</v>
      </c>
      <c r="V20" s="32">
        <f t="shared" si="11"/>
        <v>9.6257868572504179E-2</v>
      </c>
    </row>
    <row r="21" spans="2:22">
      <c r="B21" s="60" t="s">
        <v>439</v>
      </c>
      <c r="C21" s="25"/>
      <c r="D21" s="299">
        <f>SUM(D17:D20)</f>
        <v>1977.7</v>
      </c>
      <c r="E21" s="299">
        <f t="shared" ref="E21:N21" si="12">SUM(E17:E20)</f>
        <v>1826.9</v>
      </c>
      <c r="F21" s="299">
        <f t="shared" si="12"/>
        <v>2168.8000000000002</v>
      </c>
      <c r="G21" s="299">
        <f t="shared" si="12"/>
        <v>2786.2</v>
      </c>
      <c r="H21" s="299">
        <f t="shared" si="12"/>
        <v>3230.3</v>
      </c>
      <c r="I21" s="172">
        <f t="shared" si="12"/>
        <v>3472.2425088</v>
      </c>
      <c r="J21" s="172">
        <f t="shared" si="12"/>
        <v>3993.0788851199991</v>
      </c>
      <c r="K21" s="172">
        <f t="shared" si="12"/>
        <v>4671.9022955903984</v>
      </c>
      <c r="L21" s="172">
        <f t="shared" si="12"/>
        <v>5294.8226016691187</v>
      </c>
      <c r="M21" s="172">
        <f t="shared" si="12"/>
        <v>5806.6554531638003</v>
      </c>
      <c r="N21" s="172">
        <f t="shared" si="12"/>
        <v>6155.0547803536292</v>
      </c>
      <c r="O21" s="172">
        <f t="shared" ref="O21:S21" si="13">SUM(O17:O20)</f>
        <v>6493.5827932730781</v>
      </c>
      <c r="P21" s="172">
        <f t="shared" si="13"/>
        <v>6818.2619329367326</v>
      </c>
      <c r="Q21" s="172">
        <f t="shared" si="13"/>
        <v>7125.0837199188845</v>
      </c>
      <c r="R21" s="172">
        <f t="shared" si="13"/>
        <v>7427.8997780154368</v>
      </c>
      <c r="S21" s="172">
        <f t="shared" si="13"/>
        <v>7725.0157691360546</v>
      </c>
      <c r="U21" s="32">
        <f t="shared" si="10"/>
        <v>0.12130659011217326</v>
      </c>
      <c r="V21" s="32">
        <f t="shared" si="11"/>
        <v>9.6257868572504179E-2</v>
      </c>
    </row>
    <row r="22" spans="2:22">
      <c r="B22" s="62"/>
      <c r="D22" s="300"/>
      <c r="E22" s="300"/>
      <c r="F22" s="300"/>
      <c r="G22" s="300"/>
      <c r="H22" s="300"/>
      <c r="I22" s="118"/>
      <c r="J22" s="118"/>
      <c r="K22" s="118"/>
      <c r="L22" s="118"/>
      <c r="M22" s="118"/>
      <c r="N22" s="118"/>
      <c r="O22" s="118"/>
      <c r="P22" s="118"/>
      <c r="Q22" s="118"/>
      <c r="R22" s="118"/>
      <c r="S22" s="118"/>
      <c r="U22" s="32"/>
      <c r="V22" s="32"/>
    </row>
    <row r="23" spans="2:22">
      <c r="B23" s="60" t="s">
        <v>100</v>
      </c>
      <c r="C23" s="25"/>
      <c r="D23" s="299">
        <f>D12-D21</f>
        <v>2180.3000000000002</v>
      </c>
      <c r="E23" s="299">
        <f t="shared" ref="E23:N23" si="14">E12-E21</f>
        <v>1781.1</v>
      </c>
      <c r="F23" s="299">
        <f t="shared" si="14"/>
        <v>2173.1999999999998</v>
      </c>
      <c r="G23" s="299">
        <f t="shared" si="14"/>
        <v>3443.8</v>
      </c>
      <c r="H23" s="299">
        <f t="shared" si="14"/>
        <v>4324.7</v>
      </c>
      <c r="I23" s="172">
        <f t="shared" si="14"/>
        <v>4936.6230451200008</v>
      </c>
      <c r="J23" s="172">
        <f t="shared" si="14"/>
        <v>5555.5880140799982</v>
      </c>
      <c r="K23" s="172">
        <f t="shared" si="14"/>
        <v>6753.9457099295978</v>
      </c>
      <c r="L23" s="172">
        <f t="shared" si="14"/>
        <v>7798.3528535452806</v>
      </c>
      <c r="M23" s="172">
        <f t="shared" si="14"/>
        <v>8394.4040790302752</v>
      </c>
      <c r="N23" s="172">
        <f t="shared" si="14"/>
        <v>8898.0683237720914</v>
      </c>
      <c r="O23" s="172">
        <f t="shared" ref="O23:S23" si="15">O12-O21</f>
        <v>9387.462081579557</v>
      </c>
      <c r="P23" s="172">
        <f t="shared" si="15"/>
        <v>9856.8351856585359</v>
      </c>
      <c r="Q23" s="172">
        <f t="shared" si="15"/>
        <v>10300.39276901317</v>
      </c>
      <c r="R23" s="172">
        <f t="shared" si="15"/>
        <v>10738.15946169623</v>
      </c>
      <c r="S23" s="172">
        <f t="shared" si="15"/>
        <v>11167.685840164078</v>
      </c>
      <c r="U23" s="32"/>
      <c r="V23" s="32"/>
    </row>
    <row r="24" spans="2:22">
      <c r="B24" s="62"/>
      <c r="D24" s="118"/>
      <c r="E24" s="118"/>
      <c r="F24" s="118"/>
      <c r="G24" s="118"/>
      <c r="H24" s="118"/>
      <c r="I24" s="117"/>
      <c r="J24" s="117"/>
      <c r="K24" s="117"/>
      <c r="L24" s="117"/>
      <c r="M24" s="117"/>
      <c r="N24" s="117"/>
      <c r="O24" s="117"/>
      <c r="P24" s="117"/>
      <c r="Q24" s="117"/>
      <c r="R24" s="117"/>
      <c r="S24" s="117"/>
    </row>
    <row r="25" spans="2:22">
      <c r="B25" s="53" t="s">
        <v>56</v>
      </c>
      <c r="D25" s="147">
        <f>Schedules!D72</f>
        <v>382</v>
      </c>
      <c r="E25" s="147">
        <f>Schedules!E72</f>
        <v>451</v>
      </c>
      <c r="F25" s="147">
        <f>Schedules!F72</f>
        <v>452</v>
      </c>
      <c r="G25" s="147">
        <f>Schedules!G72</f>
        <v>526</v>
      </c>
      <c r="H25" s="147">
        <f>Schedules!H72</f>
        <v>598</v>
      </c>
      <c r="I25" s="147">
        <f>Schedules!I72</f>
        <v>712.22222222222217</v>
      </c>
      <c r="J25" s="147">
        <f>Schedules!J72</f>
        <v>851.11111111111109</v>
      </c>
      <c r="K25" s="147">
        <f>Schedules!K72</f>
        <v>964.00618883362449</v>
      </c>
      <c r="L25" s="147">
        <f>Schedules!L72</f>
        <v>1067.6040248613426</v>
      </c>
      <c r="M25" s="147">
        <f>Schedules!M72</f>
        <v>1152.7269134641178</v>
      </c>
      <c r="N25" s="147">
        <f>Schedules!N72</f>
        <v>1210.6691831544208</v>
      </c>
      <c r="O25" s="147">
        <f>Schedules!O72</f>
        <v>1266.9697552034984</v>
      </c>
      <c r="P25" s="147">
        <f>Schedules!P72</f>
        <v>1320.9671220323864</v>
      </c>
      <c r="Q25" s="147">
        <f>Schedules!Q72</f>
        <v>1371.9946336856856</v>
      </c>
      <c r="R25" s="147">
        <f>Schedules!R72</f>
        <v>1422.3559528257333</v>
      </c>
      <c r="S25" s="147">
        <f>Schedules!S72</f>
        <v>1471.7692941937332</v>
      </c>
      <c r="U25" s="32">
        <f t="shared" ref="U25" si="16">_xlfn.RRI($N$6-$I$6,I25,N25)</f>
        <v>0.11194163886254271</v>
      </c>
      <c r="V25" s="32">
        <f t="shared" ref="V25" si="17">_xlfn.RRI($N$6-$K$6,K25,N25)</f>
        <v>7.8901727816694134E-2</v>
      </c>
    </row>
    <row r="26" spans="2:22">
      <c r="B26" s="60" t="s">
        <v>57</v>
      </c>
      <c r="C26" s="25"/>
      <c r="D26" s="299">
        <f>D23-D25</f>
        <v>1798.3000000000002</v>
      </c>
      <c r="E26" s="299">
        <f t="shared" ref="E26:N26" si="18">E23-E25</f>
        <v>1330.1</v>
      </c>
      <c r="F26" s="299">
        <f t="shared" si="18"/>
        <v>1721.1999999999998</v>
      </c>
      <c r="G26" s="299">
        <f t="shared" si="18"/>
        <v>2917.8</v>
      </c>
      <c r="H26" s="299">
        <f t="shared" si="18"/>
        <v>3726.7</v>
      </c>
      <c r="I26" s="299">
        <f t="shared" si="18"/>
        <v>4224.4008228977782</v>
      </c>
      <c r="J26" s="299">
        <f t="shared" si="18"/>
        <v>4704.4769029688869</v>
      </c>
      <c r="K26" s="299">
        <f t="shared" si="18"/>
        <v>5789.9395210959738</v>
      </c>
      <c r="L26" s="299">
        <f t="shared" si="18"/>
        <v>6730.748828683938</v>
      </c>
      <c r="M26" s="299">
        <f t="shared" si="18"/>
        <v>7241.6771655661578</v>
      </c>
      <c r="N26" s="172">
        <f t="shared" si="18"/>
        <v>7687.3991406176701</v>
      </c>
      <c r="O26" s="172">
        <f t="shared" ref="O26:S26" si="19">O23-O25</f>
        <v>8120.4923263760584</v>
      </c>
      <c r="P26" s="172">
        <f t="shared" si="19"/>
        <v>8535.8680636261488</v>
      </c>
      <c r="Q26" s="172">
        <f t="shared" si="19"/>
        <v>8928.398135327483</v>
      </c>
      <c r="R26" s="172">
        <f t="shared" si="19"/>
        <v>9315.8035088704964</v>
      </c>
      <c r="S26" s="172">
        <f t="shared" si="19"/>
        <v>9695.9165459703454</v>
      </c>
    </row>
    <row r="27" spans="2:22">
      <c r="B27" s="62"/>
      <c r="D27" s="300"/>
      <c r="E27" s="300"/>
      <c r="F27" s="300"/>
      <c r="G27" s="300"/>
      <c r="H27" s="300"/>
      <c r="I27" s="300"/>
      <c r="J27" s="300"/>
      <c r="K27" s="300"/>
      <c r="L27" s="300"/>
      <c r="M27" s="300"/>
      <c r="N27" s="118"/>
      <c r="O27" s="118"/>
      <c r="P27" s="118"/>
      <c r="Q27" s="118"/>
      <c r="R27" s="118"/>
      <c r="S27" s="118"/>
    </row>
    <row r="28" spans="2:22">
      <c r="B28" s="259" t="s">
        <v>103</v>
      </c>
      <c r="C28" s="40"/>
      <c r="D28" s="301">
        <f>D26/D10</f>
        <v>0.19644963950185712</v>
      </c>
      <c r="E28" s="301">
        <f t="shared" ref="E28:N28" si="20">E26/E10</f>
        <v>0.15253440366972476</v>
      </c>
      <c r="F28" s="301">
        <f t="shared" si="20"/>
        <v>0.16713925033987181</v>
      </c>
      <c r="G28" s="301">
        <f t="shared" si="20"/>
        <v>0.20203572912339013</v>
      </c>
      <c r="H28" s="301">
        <f t="shared" si="20"/>
        <v>0.22536889211417513</v>
      </c>
      <c r="I28" s="301">
        <f t="shared" si="20"/>
        <v>0.22385814050811242</v>
      </c>
      <c r="J28" s="301">
        <f t="shared" si="20"/>
        <v>0.21678102913818634</v>
      </c>
      <c r="K28" s="301">
        <f t="shared" si="20"/>
        <v>0.22803320884668213</v>
      </c>
      <c r="L28" s="301">
        <f t="shared" si="20"/>
        <v>0.23389976919858241</v>
      </c>
      <c r="M28" s="301">
        <f t="shared" si="20"/>
        <v>0.22947264724277164</v>
      </c>
      <c r="N28" s="260">
        <f t="shared" si="20"/>
        <v>0.22980809957834114</v>
      </c>
      <c r="O28" s="260">
        <f t="shared" ref="O28:S28" si="21">O26/O10</f>
        <v>0.23009956685253269</v>
      </c>
      <c r="P28" s="260">
        <f t="shared" si="21"/>
        <v>0.23035191947088035</v>
      </c>
      <c r="Q28" s="260">
        <f t="shared" si="21"/>
        <v>0.23056925665414632</v>
      </c>
      <c r="R28" s="260">
        <f t="shared" si="21"/>
        <v>0.23076615151774993</v>
      </c>
      <c r="S28" s="260">
        <f t="shared" si="21"/>
        <v>0.2309443369146762</v>
      </c>
    </row>
    <row r="29" spans="2:22">
      <c r="B29" s="56"/>
      <c r="D29" s="302"/>
      <c r="E29" s="302"/>
      <c r="F29" s="302"/>
      <c r="G29" s="302"/>
      <c r="H29" s="302"/>
      <c r="I29" s="303"/>
      <c r="J29" s="303"/>
      <c r="K29" s="303"/>
      <c r="L29" s="303"/>
      <c r="M29" s="303"/>
      <c r="N29" s="117"/>
      <c r="O29" s="117"/>
      <c r="P29" s="117"/>
      <c r="Q29" s="117"/>
      <c r="R29" s="117"/>
      <c r="S29" s="117"/>
    </row>
    <row r="30" spans="2:22">
      <c r="B30" s="261" t="s">
        <v>572</v>
      </c>
      <c r="D30" s="302">
        <f>'P&amp;L'!G43</f>
        <v>19</v>
      </c>
      <c r="E30" s="302">
        <f>'P&amp;L'!H43</f>
        <v>16</v>
      </c>
      <c r="F30" s="302">
        <f>'P&amp;L'!I43</f>
        <v>19</v>
      </c>
      <c r="G30" s="302">
        <f>'P&amp;L'!J43</f>
        <v>28</v>
      </c>
      <c r="H30" s="302">
        <f>'P&amp;L'!K43</f>
        <v>51</v>
      </c>
      <c r="I30" s="303">
        <f>Schedules!I154</f>
        <v>15.765448519717648</v>
      </c>
      <c r="J30" s="303">
        <f>Schedules!J154</f>
        <v>27.710948435039999</v>
      </c>
      <c r="K30" s="303">
        <f>Schedules!K154</f>
        <v>32.164033404484798</v>
      </c>
      <c r="L30" s="303">
        <f>Schedules!L154</f>
        <v>36.996049482762238</v>
      </c>
      <c r="M30" s="303">
        <f>Schedules!M154</f>
        <v>41.208203866580895</v>
      </c>
      <c r="N30" s="117">
        <f>Schedules!N154</f>
        <v>44.401348312458722</v>
      </c>
      <c r="O30" s="117">
        <f>Schedules!O154</f>
        <v>46.951192732538267</v>
      </c>
      <c r="P30" s="117">
        <f>Schedules!P154</f>
        <v>49.412988847833155</v>
      </c>
      <c r="Q30" s="117">
        <f>Schedules!Q154</f>
        <v>51.757092830980369</v>
      </c>
      <c r="R30" s="117">
        <f>Schedules!R154</f>
        <v>54.020042005919251</v>
      </c>
      <c r="S30" s="117">
        <f>Schedules!S154</f>
        <v>56.246963688611245</v>
      </c>
    </row>
    <row r="31" spans="2:22">
      <c r="B31" s="261" t="s">
        <v>188</v>
      </c>
      <c r="D31" s="302">
        <f>'P&amp;L'!G44</f>
        <v>576</v>
      </c>
      <c r="E31" s="302">
        <f>'P&amp;L'!H44</f>
        <v>484</v>
      </c>
      <c r="F31" s="302">
        <f>'P&amp;L'!I44</f>
        <v>501</v>
      </c>
      <c r="G31" s="302">
        <f>'P&amp;L'!J44</f>
        <v>910</v>
      </c>
      <c r="H31" s="302">
        <f>'P&amp;L'!K44</f>
        <v>1526</v>
      </c>
      <c r="I31" s="302">
        <f>Schedules!I44</f>
        <v>1708.75847376</v>
      </c>
      <c r="J31" s="302">
        <f>Schedules!J44</f>
        <v>1302.0909407999998</v>
      </c>
      <c r="K31" s="302">
        <f>Schedules!K44</f>
        <v>1523.4464007359998</v>
      </c>
      <c r="L31" s="302">
        <f>Schedules!L44</f>
        <v>1726.5725875007995</v>
      </c>
      <c r="M31" s="302">
        <f>Schedules!M44</f>
        <v>1893.4746042925435</v>
      </c>
      <c r="N31" s="147">
        <f>Schedules!N44</f>
        <v>2007.0830805500964</v>
      </c>
      <c r="O31" s="147">
        <f>Schedules!O44</f>
        <v>2117.4726499803514</v>
      </c>
      <c r="P31" s="147">
        <f>Schedules!P44</f>
        <v>2223.3462824793692</v>
      </c>
      <c r="Q31" s="147">
        <f>Schedules!Q44</f>
        <v>2323.3968651909408</v>
      </c>
      <c r="R31" s="147">
        <f>Schedules!R44</f>
        <v>2422.1412319615556</v>
      </c>
      <c r="S31" s="147">
        <f>Schedules!S44</f>
        <v>2519.0268812400177</v>
      </c>
    </row>
    <row r="32" spans="2:22">
      <c r="B32" s="60" t="s">
        <v>187</v>
      </c>
      <c r="C32" s="24"/>
      <c r="D32" s="299">
        <f>D26-D30+D31</f>
        <v>2355.3000000000002</v>
      </c>
      <c r="E32" s="299">
        <f t="shared" ref="E32:N32" si="22">E26-E30+E31</f>
        <v>1798.1</v>
      </c>
      <c r="F32" s="299">
        <f t="shared" si="22"/>
        <v>2203.1999999999998</v>
      </c>
      <c r="G32" s="299">
        <f t="shared" si="22"/>
        <v>3799.8</v>
      </c>
      <c r="H32" s="299">
        <f t="shared" si="22"/>
        <v>5201.7</v>
      </c>
      <c r="I32" s="299">
        <f t="shared" si="22"/>
        <v>5917.393848138061</v>
      </c>
      <c r="J32" s="299">
        <f t="shared" si="22"/>
        <v>5978.8568953338463</v>
      </c>
      <c r="K32" s="299">
        <f t="shared" si="22"/>
        <v>7281.221888427488</v>
      </c>
      <c r="L32" s="299">
        <f t="shared" si="22"/>
        <v>8420.3253667019762</v>
      </c>
      <c r="M32" s="299">
        <f t="shared" si="22"/>
        <v>9093.9435659921201</v>
      </c>
      <c r="N32" s="172">
        <f t="shared" si="22"/>
        <v>9650.0808728553075</v>
      </c>
      <c r="O32" s="172">
        <f t="shared" ref="O32:S32" si="23">O26-O30+O31</f>
        <v>10191.013783623872</v>
      </c>
      <c r="P32" s="172">
        <f t="shared" si="23"/>
        <v>10709.801357257686</v>
      </c>
      <c r="Q32" s="172">
        <f t="shared" si="23"/>
        <v>11200.037907687445</v>
      </c>
      <c r="R32" s="172">
        <f t="shared" si="23"/>
        <v>11683.924698826133</v>
      </c>
      <c r="S32" s="172">
        <f t="shared" si="23"/>
        <v>12158.696463521752</v>
      </c>
      <c r="U32" s="32">
        <f t="shared" ref="U32" si="24">_xlfn.RRI($N$6-$I$6,I32,N32)</f>
        <v>0.10275769111172073</v>
      </c>
      <c r="V32" s="32">
        <f t="shared" ref="V32" si="25">_xlfn.RRI($N$6-$K$6,K32,N32)</f>
        <v>9.8438034430252674E-2</v>
      </c>
    </row>
    <row r="33" spans="1:22">
      <c r="B33" s="56"/>
      <c r="D33" s="302"/>
      <c r="E33" s="302"/>
      <c r="F33" s="302"/>
      <c r="G33" s="302"/>
      <c r="H33" s="302"/>
      <c r="I33" s="303"/>
      <c r="J33" s="303"/>
      <c r="K33" s="303"/>
      <c r="L33" s="303"/>
      <c r="M33" s="303"/>
      <c r="N33" s="117"/>
      <c r="O33" s="117"/>
      <c r="P33" s="117"/>
      <c r="Q33" s="117"/>
      <c r="R33" s="117"/>
      <c r="S33" s="117"/>
    </row>
    <row r="34" spans="1:22">
      <c r="B34" s="56" t="s">
        <v>4</v>
      </c>
      <c r="D34" s="302">
        <f>'P&amp;L'!G47</f>
        <v>527</v>
      </c>
      <c r="E34" s="302">
        <f>'P&amp;L'!H47</f>
        <v>452</v>
      </c>
      <c r="F34" s="302">
        <f>'P&amp;L'!I47</f>
        <v>526</v>
      </c>
      <c r="G34" s="302">
        <f>'P&amp;L'!J47</f>
        <v>886</v>
      </c>
      <c r="H34" s="302">
        <f>'P&amp;L'!K47</f>
        <v>1201</v>
      </c>
      <c r="I34" s="302">
        <f>I32*'Control Sheet'!H101</f>
        <v>1208.2983974023807</v>
      </c>
      <c r="J34" s="302">
        <f>J32*'Control Sheet'!H101</f>
        <v>1220.8488044450862</v>
      </c>
      <c r="K34" s="302">
        <f>K32*'Control Sheet'!I101</f>
        <v>1820.305472106872</v>
      </c>
      <c r="L34" s="302">
        <f>L32*'Control Sheet'!J101</f>
        <v>2105.0813416754941</v>
      </c>
      <c r="M34" s="302">
        <f>M32*'Control Sheet'!K101</f>
        <v>2273.48589149803</v>
      </c>
      <c r="N34" s="147">
        <f>N32*'Control Sheet'!L101</f>
        <v>2412.5202182138269</v>
      </c>
      <c r="O34" s="147">
        <f>O32*'Control Sheet'!M101</f>
        <v>2547.753445905968</v>
      </c>
      <c r="P34" s="147">
        <f>P32*'Control Sheet'!N101</f>
        <v>2677.4503393144214</v>
      </c>
      <c r="Q34" s="147">
        <f>Q32*'Control Sheet'!O101</f>
        <v>2800.0094769218613</v>
      </c>
      <c r="R34" s="147">
        <f>R32*'Control Sheet'!P101</f>
        <v>2920.9811747065332</v>
      </c>
      <c r="S34" s="147">
        <f>S32*'Control Sheet'!Q101</f>
        <v>3039.674115880438</v>
      </c>
      <c r="U34" s="32">
        <f t="shared" ref="U34:U35" si="26">_xlfn.RRI($N$6-$I$6,I34,N34)</f>
        <v>0.14831054352694739</v>
      </c>
      <c r="V34" s="32">
        <f t="shared" ref="V34:V35" si="27">_xlfn.RRI($N$6-$K$6,K34,N34)</f>
        <v>9.8438034430252674E-2</v>
      </c>
    </row>
    <row r="35" spans="1:22" ht="15" thickBot="1">
      <c r="B35" s="58" t="s">
        <v>5</v>
      </c>
      <c r="C35" s="30"/>
      <c r="D35" s="304">
        <f>D32-D34</f>
        <v>1828.3000000000002</v>
      </c>
      <c r="E35" s="304">
        <f t="shared" ref="E35:H35" si="28">E32-E34</f>
        <v>1346.1</v>
      </c>
      <c r="F35" s="304">
        <f t="shared" si="28"/>
        <v>1677.1999999999998</v>
      </c>
      <c r="G35" s="304">
        <f t="shared" si="28"/>
        <v>2913.8</v>
      </c>
      <c r="H35" s="304">
        <f t="shared" si="28"/>
        <v>4000.7</v>
      </c>
      <c r="I35" s="304">
        <f>I32-I34</f>
        <v>4709.0954507356801</v>
      </c>
      <c r="J35" s="304">
        <f t="shared" ref="J35:N35" si="29">J32-J34</f>
        <v>4758.0080908887603</v>
      </c>
      <c r="K35" s="304">
        <f t="shared" si="29"/>
        <v>5460.916416320616</v>
      </c>
      <c r="L35" s="304">
        <f t="shared" si="29"/>
        <v>6315.2440250264826</v>
      </c>
      <c r="M35" s="304">
        <f t="shared" si="29"/>
        <v>6820.4576744940896</v>
      </c>
      <c r="N35" s="116">
        <f t="shared" si="29"/>
        <v>7237.5606546414801</v>
      </c>
      <c r="O35" s="116">
        <f t="shared" ref="O35:S35" si="30">O32-O34</f>
        <v>7643.2603377179039</v>
      </c>
      <c r="P35" s="116">
        <f t="shared" si="30"/>
        <v>8032.3510179432642</v>
      </c>
      <c r="Q35" s="116">
        <f t="shared" si="30"/>
        <v>8400.0284307655838</v>
      </c>
      <c r="R35" s="116">
        <f t="shared" si="30"/>
        <v>8762.9435241196006</v>
      </c>
      <c r="S35" s="116">
        <f t="shared" si="30"/>
        <v>9119.0223476413139</v>
      </c>
      <c r="U35" s="32">
        <f t="shared" si="26"/>
        <v>8.9760204876613736E-2</v>
      </c>
      <c r="V35" s="32">
        <f t="shared" si="27"/>
        <v>9.8438034430252674E-2</v>
      </c>
    </row>
    <row r="36" spans="1:22">
      <c r="D36" s="117"/>
      <c r="E36" s="117"/>
      <c r="F36" s="117"/>
      <c r="G36" s="117"/>
      <c r="H36" s="117"/>
      <c r="M36" s="117"/>
      <c r="N36" s="117"/>
      <c r="O36" s="117"/>
      <c r="P36" s="117"/>
      <c r="Q36" s="117"/>
      <c r="R36" s="117"/>
      <c r="S36" s="117"/>
    </row>
    <row r="37" spans="1:22">
      <c r="B37" s="26" t="s">
        <v>61</v>
      </c>
      <c r="C37" s="26"/>
      <c r="D37" s="174"/>
      <c r="E37" s="284">
        <f>E10/D10-1</f>
        <v>-4.7410967882892674E-2</v>
      </c>
      <c r="F37" s="284">
        <f t="shared" ref="F37:M37" si="31">F10/E10-1</f>
        <v>0.18096330275229366</v>
      </c>
      <c r="G37" s="284">
        <f t="shared" si="31"/>
        <v>0.40240823460866193</v>
      </c>
      <c r="H37" s="284">
        <f t="shared" si="31"/>
        <v>0.14499376817615284</v>
      </c>
      <c r="I37" s="284">
        <f t="shared" si="31"/>
        <v>0.14119999999999999</v>
      </c>
      <c r="J37" s="284">
        <f t="shared" si="31"/>
        <v>0.14999999999999991</v>
      </c>
      <c r="K37" s="284">
        <f t="shared" si="31"/>
        <v>0.16999999999999993</v>
      </c>
      <c r="L37" s="284">
        <f t="shared" si="31"/>
        <v>0.1333333333333333</v>
      </c>
      <c r="M37" s="284">
        <f t="shared" si="31"/>
        <v>9.6666666666666679E-2</v>
      </c>
      <c r="N37" s="284">
        <f t="shared" ref="N37" si="32">N10/M10-1</f>
        <v>6.0000000000000053E-2</v>
      </c>
      <c r="O37" s="284">
        <f t="shared" ref="O37" si="33">O10/N10-1</f>
        <v>5.4999999999999938E-2</v>
      </c>
      <c r="P37" s="284">
        <f t="shared" ref="P37" si="34">P10/O10-1</f>
        <v>5.0000000000000044E-2</v>
      </c>
      <c r="Q37" s="284">
        <f t="shared" ref="Q37" si="35">Q10/P10-1</f>
        <v>4.4999999999999929E-2</v>
      </c>
      <c r="R37" s="284">
        <f t="shared" ref="R37" si="36">R10/Q10-1</f>
        <v>4.2499999999999982E-2</v>
      </c>
      <c r="S37" s="284">
        <f t="shared" ref="S37" si="37">S10/R10-1</f>
        <v>4.0000000000000036E-2</v>
      </c>
    </row>
    <row r="38" spans="1:22">
      <c r="B38" s="26" t="s">
        <v>62</v>
      </c>
      <c r="C38" s="26"/>
      <c r="D38" s="26"/>
      <c r="E38" s="251">
        <f>E12/E10</f>
        <v>0.41376146788990825</v>
      </c>
      <c r="F38" s="251">
        <f t="shared" ref="F38:M38" si="38">F12/F10</f>
        <v>0.42163526898426879</v>
      </c>
      <c r="G38" s="251">
        <f t="shared" si="38"/>
        <v>0.4313806951945714</v>
      </c>
      <c r="H38" s="251">
        <f t="shared" si="38"/>
        <v>0.45688195452346397</v>
      </c>
      <c r="I38" s="251">
        <f t="shared" si="38"/>
        <v>0.44560000000000005</v>
      </c>
      <c r="J38" s="251">
        <f t="shared" si="38"/>
        <v>0.43999999999999995</v>
      </c>
      <c r="K38" s="251">
        <f t="shared" si="38"/>
        <v>0.44999999999999996</v>
      </c>
      <c r="L38" s="251">
        <f t="shared" si="38"/>
        <v>0.45500000000000007</v>
      </c>
      <c r="M38" s="251">
        <f t="shared" si="38"/>
        <v>0.44999999999999996</v>
      </c>
      <c r="N38" s="251">
        <f t="shared" ref="N38:S38" si="39">N12/N10</f>
        <v>0.4499999999999999</v>
      </c>
      <c r="O38" s="251">
        <f t="shared" si="39"/>
        <v>0.44999999999999996</v>
      </c>
      <c r="P38" s="251">
        <f t="shared" si="39"/>
        <v>0.44999999999999996</v>
      </c>
      <c r="Q38" s="251">
        <f t="shared" si="39"/>
        <v>0.44999999999999996</v>
      </c>
      <c r="R38" s="251">
        <f t="shared" si="39"/>
        <v>0.45</v>
      </c>
      <c r="S38" s="251">
        <f t="shared" si="39"/>
        <v>0.44999999999999996</v>
      </c>
    </row>
    <row r="39" spans="1:22">
      <c r="B39" s="26" t="s">
        <v>63</v>
      </c>
      <c r="C39" s="26"/>
      <c r="D39" s="26"/>
      <c r="E39" s="251">
        <f>E23/E10</f>
        <v>0.20425458715596329</v>
      </c>
      <c r="F39" s="251">
        <f t="shared" ref="F39:M39" si="40">F23/F10</f>
        <v>0.21103126820741891</v>
      </c>
      <c r="G39" s="251">
        <f t="shared" si="40"/>
        <v>0.2384572773854037</v>
      </c>
      <c r="H39" s="251">
        <f t="shared" si="40"/>
        <v>0.26153241412675376</v>
      </c>
      <c r="I39" s="251">
        <f t="shared" si="40"/>
        <v>0.26160000000000005</v>
      </c>
      <c r="J39" s="251">
        <f t="shared" si="40"/>
        <v>0.25599999999999995</v>
      </c>
      <c r="K39" s="251">
        <f t="shared" si="40"/>
        <v>0.26599999999999996</v>
      </c>
      <c r="L39" s="251">
        <f t="shared" si="40"/>
        <v>0.27100000000000007</v>
      </c>
      <c r="M39" s="251">
        <f t="shared" si="40"/>
        <v>0.26599999999999996</v>
      </c>
      <c r="N39" s="251">
        <f t="shared" ref="N39:S39" si="41">N23/N10</f>
        <v>0.2659999999999999</v>
      </c>
      <c r="O39" s="251">
        <f t="shared" si="41"/>
        <v>0.26599999999999996</v>
      </c>
      <c r="P39" s="251">
        <f t="shared" si="41"/>
        <v>0.26599999999999996</v>
      </c>
      <c r="Q39" s="251">
        <f t="shared" si="41"/>
        <v>0.26599999999999996</v>
      </c>
      <c r="R39" s="251">
        <f t="shared" si="41"/>
        <v>0.26600000000000001</v>
      </c>
      <c r="S39" s="251">
        <f t="shared" si="41"/>
        <v>0.26599999999999996</v>
      </c>
    </row>
    <row r="40" spans="1:22">
      <c r="B40" s="26" t="s">
        <v>64</v>
      </c>
      <c r="C40" s="26"/>
      <c r="D40" s="26"/>
      <c r="E40" s="251">
        <f>E26/E10</f>
        <v>0.15253440366972476</v>
      </c>
      <c r="F40" s="251">
        <f t="shared" ref="F40:M40" si="42">F26/F10</f>
        <v>0.16713925033987181</v>
      </c>
      <c r="G40" s="251">
        <f t="shared" si="42"/>
        <v>0.20203572912339013</v>
      </c>
      <c r="H40" s="251">
        <f t="shared" si="42"/>
        <v>0.22536889211417513</v>
      </c>
      <c r="I40" s="251">
        <f t="shared" si="42"/>
        <v>0.22385814050811242</v>
      </c>
      <c r="J40" s="251">
        <f t="shared" si="42"/>
        <v>0.21678102913818634</v>
      </c>
      <c r="K40" s="251">
        <f t="shared" si="42"/>
        <v>0.22803320884668213</v>
      </c>
      <c r="L40" s="251">
        <f t="shared" si="42"/>
        <v>0.23389976919858241</v>
      </c>
      <c r="M40" s="251">
        <f t="shared" si="42"/>
        <v>0.22947264724277164</v>
      </c>
      <c r="N40" s="251">
        <f t="shared" ref="N40:S40" si="43">N26/N10</f>
        <v>0.22980809957834114</v>
      </c>
      <c r="O40" s="251">
        <f t="shared" si="43"/>
        <v>0.23009956685253269</v>
      </c>
      <c r="P40" s="251">
        <f t="shared" si="43"/>
        <v>0.23035191947088035</v>
      </c>
      <c r="Q40" s="251">
        <f t="shared" si="43"/>
        <v>0.23056925665414632</v>
      </c>
      <c r="R40" s="251">
        <f t="shared" si="43"/>
        <v>0.23076615151774993</v>
      </c>
      <c r="S40" s="251">
        <f t="shared" si="43"/>
        <v>0.2309443369146762</v>
      </c>
    </row>
    <row r="41" spans="1:22">
      <c r="B41" s="26" t="s">
        <v>65</v>
      </c>
      <c r="C41" s="26"/>
      <c r="D41" s="26"/>
      <c r="E41" s="251">
        <f>E34/E32</f>
        <v>0.25137645292252936</v>
      </c>
      <c r="F41" s="251">
        <f t="shared" ref="F41:M41" si="44">F34/F32</f>
        <v>0.23874364560639072</v>
      </c>
      <c r="G41" s="251">
        <f t="shared" si="44"/>
        <v>0.23317016685088687</v>
      </c>
      <c r="H41" s="251">
        <f t="shared" si="44"/>
        <v>0.2308860564815349</v>
      </c>
      <c r="I41" s="251">
        <f t="shared" si="44"/>
        <v>0.20419435116399734</v>
      </c>
      <c r="J41" s="251">
        <f t="shared" si="44"/>
        <v>0.20419435116399734</v>
      </c>
      <c r="K41" s="251">
        <f t="shared" si="44"/>
        <v>0.25</v>
      </c>
      <c r="L41" s="251">
        <f t="shared" si="44"/>
        <v>0.25</v>
      </c>
      <c r="M41" s="251">
        <f t="shared" si="44"/>
        <v>0.25</v>
      </c>
      <c r="N41" s="251">
        <f t="shared" ref="N41:S41" si="45">N34/N32</f>
        <v>0.25</v>
      </c>
      <c r="O41" s="251">
        <f t="shared" si="45"/>
        <v>0.25</v>
      </c>
      <c r="P41" s="251">
        <f t="shared" si="45"/>
        <v>0.25</v>
      </c>
      <c r="Q41" s="251">
        <f t="shared" si="45"/>
        <v>0.25</v>
      </c>
      <c r="R41" s="251">
        <f t="shared" si="45"/>
        <v>0.25</v>
      </c>
      <c r="S41" s="251">
        <f t="shared" si="45"/>
        <v>0.25</v>
      </c>
    </row>
    <row r="42" spans="1:22">
      <c r="B42" s="26" t="s">
        <v>66</v>
      </c>
      <c r="C42" s="26"/>
      <c r="D42" s="26"/>
      <c r="E42" s="251">
        <f>E35/E10</f>
        <v>0.15436926605504586</v>
      </c>
      <c r="F42" s="251">
        <f t="shared" ref="F42:M42" si="46">F35/F10</f>
        <v>0.16286657603418137</v>
      </c>
      <c r="G42" s="251">
        <f t="shared" si="46"/>
        <v>0.20175875917462957</v>
      </c>
      <c r="H42" s="251">
        <f t="shared" si="46"/>
        <v>0.24193880019351716</v>
      </c>
      <c r="I42" s="251">
        <f t="shared" si="46"/>
        <v>0.24954292816224308</v>
      </c>
      <c r="J42" s="251">
        <f t="shared" si="46"/>
        <v>0.21924773186573857</v>
      </c>
      <c r="K42" s="251">
        <f t="shared" si="46"/>
        <v>0.21507483612219108</v>
      </c>
      <c r="L42" s="251">
        <f t="shared" si="46"/>
        <v>0.21946059160481921</v>
      </c>
      <c r="M42" s="251">
        <f t="shared" si="46"/>
        <v>0.21612513816764103</v>
      </c>
      <c r="N42" s="251">
        <f t="shared" ref="N42:S42" si="47">N35/N10</f>
        <v>0.21636056996677469</v>
      </c>
      <c r="O42" s="251">
        <f t="shared" si="47"/>
        <v>0.21657688011570284</v>
      </c>
      <c r="P42" s="251">
        <f t="shared" si="47"/>
        <v>0.21676383246030315</v>
      </c>
      <c r="Q42" s="251">
        <f t="shared" si="47"/>
        <v>0.21692450110304995</v>
      </c>
      <c r="R42" s="251">
        <f t="shared" si="47"/>
        <v>0.21707099673183763</v>
      </c>
      <c r="S42" s="251">
        <f t="shared" si="47"/>
        <v>0.21720345460908408</v>
      </c>
    </row>
    <row r="43" spans="1:22">
      <c r="D43" s="117"/>
      <c r="E43" s="117"/>
      <c r="F43" s="117"/>
      <c r="G43" s="117"/>
      <c r="H43" s="117"/>
      <c r="I43" s="117"/>
      <c r="J43" s="117"/>
      <c r="K43" s="117"/>
      <c r="L43" s="117"/>
      <c r="M43" s="117"/>
      <c r="N43" s="117"/>
      <c r="O43" s="117"/>
      <c r="P43" s="117"/>
      <c r="Q43" s="117"/>
      <c r="R43" s="117"/>
      <c r="S43" s="117"/>
    </row>
    <row r="44" spans="1:22" ht="15.9" customHeight="1">
      <c r="A44" t="s">
        <v>29</v>
      </c>
      <c r="B44" s="16" t="s">
        <v>68</v>
      </c>
      <c r="C44" s="69"/>
      <c r="D44" s="175"/>
      <c r="E44" s="175"/>
      <c r="F44" s="175"/>
      <c r="G44" s="175"/>
      <c r="H44" s="175"/>
      <c r="I44" s="175"/>
      <c r="J44" s="175"/>
      <c r="K44" s="175"/>
      <c r="L44" s="175"/>
      <c r="M44" s="175"/>
      <c r="N44" s="175"/>
      <c r="O44" s="175"/>
      <c r="P44" s="175"/>
      <c r="Q44" s="175"/>
      <c r="R44" s="175"/>
      <c r="S44" s="175"/>
    </row>
    <row r="45" spans="1:22">
      <c r="D45" s="117"/>
      <c r="E45" s="117"/>
      <c r="F45" s="117"/>
      <c r="G45" s="117"/>
      <c r="H45" s="117"/>
      <c r="I45" s="117"/>
      <c r="J45" s="117"/>
      <c r="K45" s="117"/>
      <c r="L45" s="117"/>
      <c r="M45" s="117"/>
      <c r="N45" s="117"/>
      <c r="O45" s="117"/>
      <c r="P45" s="117"/>
      <c r="Q45" s="117"/>
      <c r="R45" s="117"/>
      <c r="S45" s="117"/>
    </row>
    <row r="46" spans="1:22">
      <c r="B46" s="9" t="s">
        <v>6</v>
      </c>
      <c r="C46" s="2"/>
      <c r="D46" s="176"/>
      <c r="F46" s="176"/>
      <c r="G46" s="176"/>
      <c r="H46" s="176"/>
      <c r="I46" s="117"/>
      <c r="J46" s="117"/>
      <c r="K46" s="117"/>
      <c r="L46" s="117"/>
      <c r="M46" s="117"/>
      <c r="N46" s="117"/>
      <c r="O46" s="117"/>
      <c r="P46" s="117"/>
      <c r="Q46" s="117"/>
      <c r="R46" s="117"/>
      <c r="S46" s="117"/>
    </row>
    <row r="47" spans="1:22">
      <c r="B47" s="56" t="s">
        <v>576</v>
      </c>
      <c r="C47" s="2"/>
      <c r="D47" s="147">
        <f>D124</f>
        <v>2951</v>
      </c>
      <c r="E47" s="147">
        <f t="shared" ref="E47:N47" si="48">E124</f>
        <v>5830</v>
      </c>
      <c r="F47" s="147">
        <f t="shared" si="48"/>
        <v>2722</v>
      </c>
      <c r="G47" s="147">
        <f t="shared" si="48"/>
        <v>766</v>
      </c>
      <c r="H47" s="147">
        <f t="shared" si="48"/>
        <v>146</v>
      </c>
      <c r="I47" s="147">
        <f t="shared" si="48"/>
        <v>8085.7359026782578</v>
      </c>
      <c r="J47" s="147">
        <f t="shared" si="48"/>
        <v>8545.1597074226847</v>
      </c>
      <c r="K47" s="147">
        <f t="shared" si="48"/>
        <v>7826.6453590138954</v>
      </c>
      <c r="L47" s="147">
        <f t="shared" si="48"/>
        <v>8480.9972165061372</v>
      </c>
      <c r="M47" s="147">
        <f t="shared" si="48"/>
        <v>9608.8893804865584</v>
      </c>
      <c r="N47" s="147">
        <f t="shared" si="48"/>
        <v>11396.184380135332</v>
      </c>
      <c r="O47" s="147">
        <f t="shared" ref="O47:S47" si="49">O124</f>
        <v>13064.707092445577</v>
      </c>
      <c r="P47" s="147">
        <f t="shared" si="49"/>
        <v>14515.099785972772</v>
      </c>
      <c r="Q47" s="147">
        <f t="shared" si="49"/>
        <v>15818.267766407829</v>
      </c>
      <c r="R47" s="147">
        <f t="shared" si="49"/>
        <v>16879.994183674367</v>
      </c>
      <c r="S47" s="147">
        <f t="shared" si="49"/>
        <v>17440.70660622073</v>
      </c>
    </row>
    <row r="48" spans="1:22">
      <c r="B48" s="56" t="s">
        <v>7</v>
      </c>
      <c r="C48" s="2"/>
      <c r="D48" s="147">
        <f>Schedules!D96</f>
        <v>572</v>
      </c>
      <c r="E48" s="147">
        <f>Schedules!E96</f>
        <v>875</v>
      </c>
      <c r="F48" s="147">
        <f>Schedules!F96</f>
        <v>1132</v>
      </c>
      <c r="G48" s="147">
        <f>Schedules!G96</f>
        <v>1278</v>
      </c>
      <c r="H48" s="147">
        <f>Schedules!H96</f>
        <v>1410</v>
      </c>
      <c r="I48" s="147">
        <f>Schedules!I96</f>
        <v>1564</v>
      </c>
      <c r="J48" s="147">
        <f>Schedules!J96</f>
        <v>1997.7285667068493</v>
      </c>
      <c r="K48" s="147">
        <f>Schedules!K96</f>
        <v>2295.6041654926025</v>
      </c>
      <c r="L48" s="147">
        <f>Schedules!L96</f>
        <v>2524.324019910558</v>
      </c>
      <c r="M48" s="147">
        <f>Schedules!M96</f>
        <v>2734.2983726370639</v>
      </c>
      <c r="N48" s="147">
        <f>Schedules!N96</f>
        <v>2772.3407847781014</v>
      </c>
      <c r="O48" s="147">
        <f>Schedules!O96</f>
        <v>2924.8195279408969</v>
      </c>
      <c r="P48" s="147">
        <f>Schedules!P96</f>
        <v>3071.0605043379419</v>
      </c>
      <c r="Q48" s="147">
        <f>Schedules!Q96</f>
        <v>3209.2582270331491</v>
      </c>
      <c r="R48" s="147">
        <f>Schedules!R96</f>
        <v>3345.6517016820571</v>
      </c>
      <c r="S48" s="147">
        <f>Schedules!S96</f>
        <v>3479.47776974934</v>
      </c>
    </row>
    <row r="49" spans="2:20">
      <c r="B49" s="56" t="s">
        <v>445</v>
      </c>
      <c r="C49" s="2"/>
      <c r="D49" s="147">
        <f>Schedules!D91</f>
        <v>87</v>
      </c>
      <c r="E49" s="147">
        <f>Schedules!E91</f>
        <v>158</v>
      </c>
      <c r="F49" s="147">
        <f>Schedules!F91</f>
        <v>302</v>
      </c>
      <c r="G49" s="147">
        <f>Schedules!G91</f>
        <v>369</v>
      </c>
      <c r="H49" s="147">
        <f>Schedules!H91</f>
        <v>374</v>
      </c>
      <c r="I49" s="147">
        <f>Schedules!I91</f>
        <v>568.71154849315076</v>
      </c>
      <c r="J49" s="147">
        <f>Schedules!J91</f>
        <v>594.56207342465746</v>
      </c>
      <c r="K49" s="147">
        <f>Schedules!K91</f>
        <v>695.63762590684917</v>
      </c>
      <c r="L49" s="147">
        <f>Schedules!L91</f>
        <v>788.3893093610958</v>
      </c>
      <c r="M49" s="147">
        <f>Schedules!M91</f>
        <v>864.6002759326683</v>
      </c>
      <c r="N49" s="147">
        <f>Schedules!N91</f>
        <v>916.47629248862836</v>
      </c>
      <c r="O49" s="147">
        <f>Schedules!O91</f>
        <v>918.53836414672787</v>
      </c>
      <c r="P49" s="147">
        <f>Schedules!P91</f>
        <v>964.46528235406436</v>
      </c>
      <c r="Q49" s="147">
        <f>Schedules!Q91</f>
        <v>954.82062953052366</v>
      </c>
      <c r="R49" s="147">
        <f>Schedules!R91</f>
        <v>884.80045003161854</v>
      </c>
      <c r="S49" s="147">
        <f>Schedules!S91</f>
        <v>920.1924680328832</v>
      </c>
    </row>
    <row r="50" spans="2:20">
      <c r="B50" s="262" t="s">
        <v>500</v>
      </c>
      <c r="C50" s="2"/>
      <c r="D50" s="147">
        <f>Schedules!D106</f>
        <v>2512</v>
      </c>
      <c r="E50" s="147">
        <f>Schedules!E106</f>
        <v>1076</v>
      </c>
      <c r="F50" s="147">
        <f>Schedules!F106</f>
        <v>425</v>
      </c>
      <c r="G50" s="147">
        <f>Schedules!G106</f>
        <v>220</v>
      </c>
      <c r="H50" s="147">
        <f>Schedules!H106</f>
        <v>181</v>
      </c>
      <c r="I50" s="147">
        <f>Schedules!I106</f>
        <v>1320.9618240000002</v>
      </c>
      <c r="J50" s="147">
        <f>Schedules!J106</f>
        <v>1519.1060975999999</v>
      </c>
      <c r="K50" s="147">
        <f>Schedules!K106</f>
        <v>1777.3541341919997</v>
      </c>
      <c r="L50" s="147">
        <f>Schedules!L106</f>
        <v>2014.3346854175998</v>
      </c>
      <c r="M50" s="147">
        <f>Schedules!M106</f>
        <v>2209.0537050079674</v>
      </c>
      <c r="N50" s="147">
        <f>Schedules!N106</f>
        <v>2341.5969273084461</v>
      </c>
      <c r="O50" s="147">
        <f>Schedules!O106</f>
        <v>2470.3847583104107</v>
      </c>
      <c r="P50" s="147">
        <f>Schedules!P106</f>
        <v>2593.9039962259312</v>
      </c>
      <c r="Q50" s="147">
        <f>Schedules!Q106</f>
        <v>2710.6296760560977</v>
      </c>
      <c r="R50" s="147">
        <f>Schedules!R106</f>
        <v>2825.831437288482</v>
      </c>
      <c r="S50" s="147">
        <f>Schedules!S106</f>
        <v>2938.8646947800212</v>
      </c>
    </row>
    <row r="51" spans="2:20">
      <c r="B51" s="262" t="s">
        <v>581</v>
      </c>
      <c r="C51" s="2"/>
      <c r="D51" s="147">
        <f>Schedules!D111</f>
        <v>126</v>
      </c>
      <c r="E51" s="147">
        <f>Schedules!E111</f>
        <v>620</v>
      </c>
      <c r="F51" s="147">
        <f>Schedules!F111</f>
        <v>913</v>
      </c>
      <c r="G51" s="147">
        <f>Schedules!G111</f>
        <v>964</v>
      </c>
      <c r="H51" s="147">
        <f>Schedules!H111</f>
        <v>1907</v>
      </c>
      <c r="I51" s="147">
        <f>Schedules!I111</f>
        <v>1339.8327072</v>
      </c>
      <c r="J51" s="147">
        <f>Schedules!J111</f>
        <v>1540.8076132799997</v>
      </c>
      <c r="K51" s="147">
        <f>Schedules!K111</f>
        <v>1802.7449075375996</v>
      </c>
      <c r="L51" s="147">
        <f>Schedules!L111</f>
        <v>2043.1108952092793</v>
      </c>
      <c r="M51" s="147">
        <f>Schedules!M111</f>
        <v>2240.6116150795096</v>
      </c>
      <c r="N51" s="147">
        <f>Schedules!N111</f>
        <v>2375.0483119842806</v>
      </c>
      <c r="O51" s="147">
        <f>Schedules!O111</f>
        <v>2505.6759691434158</v>
      </c>
      <c r="P51" s="147">
        <f>Schedules!P111</f>
        <v>2630.9597676005869</v>
      </c>
      <c r="Q51" s="147">
        <f>Schedules!Q111</f>
        <v>2749.3529571426129</v>
      </c>
      <c r="R51" s="147">
        <f>Schedules!R111</f>
        <v>2866.200457821174</v>
      </c>
      <c r="S51" s="147">
        <f>Schedules!S111</f>
        <v>2980.848476134021</v>
      </c>
    </row>
    <row r="52" spans="2:20">
      <c r="B52" s="71" t="s">
        <v>10</v>
      </c>
      <c r="C52" s="4"/>
      <c r="D52" s="147">
        <f>Schedules!D101</f>
        <v>127</v>
      </c>
      <c r="E52" s="147">
        <f>Schedules!E101</f>
        <v>249</v>
      </c>
      <c r="F52" s="147">
        <f>Schedules!F101</f>
        <v>125</v>
      </c>
      <c r="G52" s="147">
        <f>Schedules!G101</f>
        <v>86</v>
      </c>
      <c r="H52" s="147">
        <f>Schedules!H101</f>
        <v>133</v>
      </c>
      <c r="I52" s="147">
        <f>Schedules!I101</f>
        <v>188.708832</v>
      </c>
      <c r="J52" s="147">
        <f>Schedules!J101</f>
        <v>217.01515679999997</v>
      </c>
      <c r="K52" s="147">
        <f>Schedules!K101</f>
        <v>253.90773345599996</v>
      </c>
      <c r="L52" s="147">
        <f>Schedules!L101</f>
        <v>287.76209791679997</v>
      </c>
      <c r="M52" s="147">
        <f>Schedules!M101</f>
        <v>315.57910071542392</v>
      </c>
      <c r="N52" s="147">
        <f>Schedules!N101</f>
        <v>334.51384675834942</v>
      </c>
      <c r="O52" s="147">
        <f>Schedules!O101</f>
        <v>352.91210833005863</v>
      </c>
      <c r="P52" s="147">
        <f>Schedules!P101</f>
        <v>370.55771374656155</v>
      </c>
      <c r="Q52" s="147">
        <f>Schedules!Q101</f>
        <v>387.23281086515681</v>
      </c>
      <c r="R52" s="147">
        <f>Schedules!R101</f>
        <v>403.69020532692593</v>
      </c>
      <c r="S52" s="147">
        <f>Schedules!S101</f>
        <v>419.83781354000297</v>
      </c>
    </row>
    <row r="53" spans="2:20">
      <c r="B53" s="1" t="s">
        <v>11</v>
      </c>
      <c r="C53" s="5"/>
      <c r="D53" s="299">
        <f t="shared" ref="D53:N53" si="50">SUM(D47:D52)</f>
        <v>6375</v>
      </c>
      <c r="E53" s="299">
        <f t="shared" si="50"/>
        <v>8808</v>
      </c>
      <c r="F53" s="299">
        <f t="shared" si="50"/>
        <v>5619</v>
      </c>
      <c r="G53" s="299">
        <f t="shared" si="50"/>
        <v>3683</v>
      </c>
      <c r="H53" s="299">
        <f t="shared" si="50"/>
        <v>4151</v>
      </c>
      <c r="I53" s="299">
        <f t="shared" si="50"/>
        <v>13067.950814371408</v>
      </c>
      <c r="J53" s="299">
        <f t="shared" si="50"/>
        <v>14414.37921523419</v>
      </c>
      <c r="K53" s="299">
        <f t="shared" si="50"/>
        <v>14651.893925598946</v>
      </c>
      <c r="L53" s="299">
        <f t="shared" si="50"/>
        <v>16138.918224321471</v>
      </c>
      <c r="M53" s="299">
        <f t="shared" si="50"/>
        <v>17973.032449859194</v>
      </c>
      <c r="N53" s="299">
        <f t="shared" si="50"/>
        <v>20136.160543453138</v>
      </c>
      <c r="O53" s="299">
        <f t="shared" ref="O53:S53" si="51">SUM(O47:O52)</f>
        <v>22237.037820317088</v>
      </c>
      <c r="P53" s="299">
        <f t="shared" si="51"/>
        <v>24146.047050237856</v>
      </c>
      <c r="Q53" s="299">
        <f t="shared" si="51"/>
        <v>25829.562067035367</v>
      </c>
      <c r="R53" s="299">
        <f t="shared" si="51"/>
        <v>27206.168435824628</v>
      </c>
      <c r="S53" s="299">
        <f t="shared" si="51"/>
        <v>28179.927828457003</v>
      </c>
    </row>
    <row r="54" spans="2:20">
      <c r="B54" s="54"/>
      <c r="C54" s="2"/>
      <c r="D54" s="176"/>
      <c r="E54" s="176"/>
      <c r="F54" s="176"/>
      <c r="G54" s="176"/>
      <c r="H54" s="176"/>
      <c r="I54" s="7"/>
      <c r="J54" s="7"/>
      <c r="K54" s="7"/>
      <c r="L54" s="7"/>
      <c r="M54" s="7"/>
      <c r="N54" s="7"/>
      <c r="O54" s="7"/>
      <c r="P54" s="7"/>
      <c r="Q54" s="7"/>
      <c r="R54" s="7"/>
      <c r="S54" s="7"/>
    </row>
    <row r="55" spans="2:20">
      <c r="B55" s="56" t="s">
        <v>504</v>
      </c>
      <c r="C55" s="2"/>
      <c r="D55" s="147">
        <f>Schedules!D50</f>
        <v>2374</v>
      </c>
      <c r="E55" s="147">
        <f>Schedules!E50</f>
        <v>2433</v>
      </c>
      <c r="F55" s="147">
        <f>Schedules!F50</f>
        <v>2424</v>
      </c>
      <c r="G55" s="147">
        <f>Schedules!G50</f>
        <v>2690</v>
      </c>
      <c r="H55" s="147">
        <f>Schedules!H50</f>
        <v>2914</v>
      </c>
      <c r="I55" s="147">
        <f>Schedules!I50</f>
        <v>3855</v>
      </c>
      <c r="J55" s="147">
        <f>Schedules!J50</f>
        <v>4253.8888888888887</v>
      </c>
      <c r="K55" s="147">
        <f>Schedules!K50</f>
        <v>5758.059062960383</v>
      </c>
      <c r="L55" s="147">
        <f>Schedules!L50</f>
        <v>6347.7641285483796</v>
      </c>
      <c r="M55" s="147">
        <f>Schedules!M50</f>
        <v>6832.3051241065177</v>
      </c>
      <c r="N55" s="147">
        <f>Schedules!N50</f>
        <v>7162.1271672898856</v>
      </c>
      <c r="O55" s="147">
        <f>Schedules!O50</f>
        <v>7482.6042525830571</v>
      </c>
      <c r="P55" s="147">
        <f>Schedules!P50</f>
        <v>7789.9709116596905</v>
      </c>
      <c r="Q55" s="147">
        <f>Schedules!Q50</f>
        <v>8080.4324044871073</v>
      </c>
      <c r="R55" s="147">
        <f>Schedules!R50</f>
        <v>8367.1017611581665</v>
      </c>
      <c r="S55" s="147">
        <f>Schedules!S50</f>
        <v>8648.3749887624763</v>
      </c>
      <c r="T55" s="59"/>
    </row>
    <row r="56" spans="2:20">
      <c r="B56" s="56" t="s">
        <v>544</v>
      </c>
      <c r="C56" s="2"/>
      <c r="D56" s="147">
        <f>Schedules!D54</f>
        <v>27</v>
      </c>
      <c r="E56" s="147">
        <f>Schedules!E54</f>
        <v>64</v>
      </c>
      <c r="F56" s="147">
        <f>Schedules!F54</f>
        <v>134</v>
      </c>
      <c r="G56" s="147">
        <f>Schedules!G54</f>
        <v>78</v>
      </c>
      <c r="H56" s="147">
        <f>Schedules!H54</f>
        <v>212</v>
      </c>
      <c r="I56" s="147">
        <f>Schedules!I54</f>
        <v>110</v>
      </c>
      <c r="J56" s="173">
        <v>0</v>
      </c>
      <c r="K56" s="173">
        <v>0</v>
      </c>
      <c r="L56" s="173">
        <v>0</v>
      </c>
      <c r="M56" s="173">
        <v>0</v>
      </c>
      <c r="N56" s="173">
        <v>0</v>
      </c>
      <c r="O56" s="173">
        <v>0</v>
      </c>
      <c r="P56" s="173">
        <v>0</v>
      </c>
      <c r="Q56" s="173">
        <v>0</v>
      </c>
      <c r="R56" s="173">
        <v>0</v>
      </c>
      <c r="S56" s="173">
        <v>0</v>
      </c>
      <c r="T56" s="59"/>
    </row>
    <row r="57" spans="2:20">
      <c r="B57" s="56" t="s">
        <v>539</v>
      </c>
      <c r="C57" s="2"/>
      <c r="D57" s="147">
        <f ca="1">Schedules!D62</f>
        <v>3236.0000000000005</v>
      </c>
      <c r="E57" s="147">
        <f ca="1">Schedules!E62</f>
        <v>2826</v>
      </c>
      <c r="F57" s="147">
        <f ca="1">Schedules!F62</f>
        <v>7295.9999999999991</v>
      </c>
      <c r="G57" s="147">
        <f ca="1">Schedules!G62</f>
        <v>12101</v>
      </c>
      <c r="H57" s="147">
        <f ca="1">Schedules!H62</f>
        <v>13346</v>
      </c>
      <c r="I57" s="147">
        <f>Schedules!I62</f>
        <v>10416.727526400002</v>
      </c>
      <c r="J57" s="147">
        <f>Schedules!J62</f>
        <v>11979.236655359999</v>
      </c>
      <c r="K57" s="147">
        <f>Schedules!K62</f>
        <v>14015.706886771199</v>
      </c>
      <c r="L57" s="147">
        <f>Schedules!L62</f>
        <v>15884.467805007358</v>
      </c>
      <c r="M57" s="147">
        <f>Schedules!M62</f>
        <v>17419.966359491402</v>
      </c>
      <c r="N57" s="147">
        <f>Schedules!N62</f>
        <v>18465.164341060889</v>
      </c>
      <c r="O57" s="147">
        <f>Schedules!O62</f>
        <v>19480.748379819237</v>
      </c>
      <c r="P57" s="147">
        <f>Schedules!P62</f>
        <v>20454.785798810201</v>
      </c>
      <c r="Q57" s="147">
        <f>Schedules!Q62</f>
        <v>21375.251159756655</v>
      </c>
      <c r="R57" s="147">
        <f>Schedules!R62</f>
        <v>22283.699334046312</v>
      </c>
      <c r="S57" s="147">
        <f>Schedules!S62</f>
        <v>23175.047307408167</v>
      </c>
    </row>
    <row r="58" spans="2:20">
      <c r="B58" s="56" t="s">
        <v>170</v>
      </c>
      <c r="C58" s="2"/>
      <c r="D58" s="147">
        <f>Schedules!D66</f>
        <v>148</v>
      </c>
      <c r="E58" s="147">
        <f>Schedules!E66</f>
        <v>152</v>
      </c>
      <c r="F58" s="147">
        <f>Schedules!F66</f>
        <v>210</v>
      </c>
      <c r="G58" s="147">
        <f>Schedules!G66</f>
        <v>204</v>
      </c>
      <c r="H58" s="147">
        <f>Schedules!H66</f>
        <v>247</v>
      </c>
      <c r="I58" s="147">
        <f>Schedules!I66</f>
        <v>301.93413120000002</v>
      </c>
      <c r="J58" s="147">
        <f>Schedules!J66</f>
        <v>347.22425087999994</v>
      </c>
      <c r="K58" s="147">
        <f>Schedules!K66</f>
        <v>406.25237352959994</v>
      </c>
      <c r="L58" s="147">
        <f>Schedules!L66</f>
        <v>460.41935666687993</v>
      </c>
      <c r="M58" s="147">
        <f>Schedules!M66</f>
        <v>504.92656114467826</v>
      </c>
      <c r="N58" s="147">
        <f>Schedules!N66</f>
        <v>535.222154813359</v>
      </c>
      <c r="O58" s="147">
        <f>Schedules!O66</f>
        <v>564.65937332809381</v>
      </c>
      <c r="P58" s="147">
        <f>Schedules!P66</f>
        <v>592.89234199449857</v>
      </c>
      <c r="Q58" s="147">
        <f>Schedules!Q66</f>
        <v>619.57249738425082</v>
      </c>
      <c r="R58" s="147">
        <f>Schedules!R66</f>
        <v>645.90432852308152</v>
      </c>
      <c r="S58" s="147">
        <f>Schedules!S66</f>
        <v>671.7405016640048</v>
      </c>
    </row>
    <row r="59" spans="2:20">
      <c r="B59" s="71" t="s">
        <v>12</v>
      </c>
      <c r="C59" s="4"/>
      <c r="D59" s="147">
        <f>Schedules!D58</f>
        <v>289.60000000000036</v>
      </c>
      <c r="E59" s="147">
        <f>Schedules!E58</f>
        <v>276</v>
      </c>
      <c r="F59" s="147">
        <f>Schedules!F58</f>
        <v>456.89999999999964</v>
      </c>
      <c r="G59" s="147">
        <f>Schedules!G58</f>
        <v>442.20000000000073</v>
      </c>
      <c r="H59" s="147">
        <f>Schedules!H58</f>
        <v>2244.7999999999993</v>
      </c>
      <c r="I59" s="147">
        <f>Schedules!I58</f>
        <v>603.86826240000005</v>
      </c>
      <c r="J59" s="147">
        <f>Schedules!J58</f>
        <v>694.44850175999989</v>
      </c>
      <c r="K59" s="147">
        <f>Schedules!K58</f>
        <v>812.50474705919987</v>
      </c>
      <c r="L59" s="147">
        <f>Schedules!L58</f>
        <v>920.83871333375987</v>
      </c>
      <c r="M59" s="147">
        <f>Schedules!M58</f>
        <v>1009.8531222893565</v>
      </c>
      <c r="N59" s="148">
        <f>Schedules!N58</f>
        <v>1070.444309626718</v>
      </c>
      <c r="O59" s="148">
        <f>Schedules!O58</f>
        <v>1129.3187466561876</v>
      </c>
      <c r="P59" s="148">
        <f>Schedules!P58</f>
        <v>1185.7846839889971</v>
      </c>
      <c r="Q59" s="148">
        <f>Schedules!Q58</f>
        <v>1239.1449947685016</v>
      </c>
      <c r="R59" s="148">
        <f>Schedules!R58</f>
        <v>1291.808657046163</v>
      </c>
      <c r="S59" s="148">
        <f>Schedules!S58</f>
        <v>1343.4810033280096</v>
      </c>
    </row>
    <row r="60" spans="2:20">
      <c r="B60" s="72" t="s">
        <v>13</v>
      </c>
      <c r="C60" s="2"/>
      <c r="D60" s="172">
        <f ca="1">SUM(D55:D59)</f>
        <v>6074.6</v>
      </c>
      <c r="E60" s="172">
        <f t="shared" ref="E60:N60" ca="1" si="52">SUM(E55:E59)</f>
        <v>5751</v>
      </c>
      <c r="F60" s="172">
        <f t="shared" ca="1" si="52"/>
        <v>10520.9</v>
      </c>
      <c r="G60" s="172">
        <f t="shared" ca="1" si="52"/>
        <v>15515.2</v>
      </c>
      <c r="H60" s="172">
        <f t="shared" ca="1" si="52"/>
        <v>18963.8</v>
      </c>
      <c r="I60" s="172">
        <f t="shared" si="52"/>
        <v>15287.529920000001</v>
      </c>
      <c r="J60" s="172">
        <f t="shared" si="52"/>
        <v>17274.798296888886</v>
      </c>
      <c r="K60" s="172">
        <f t="shared" si="52"/>
        <v>20992.523070320382</v>
      </c>
      <c r="L60" s="172">
        <f t="shared" si="52"/>
        <v>23613.490003556377</v>
      </c>
      <c r="M60" s="172">
        <f t="shared" si="52"/>
        <v>25767.051167031957</v>
      </c>
      <c r="N60" s="172">
        <f t="shared" si="52"/>
        <v>27232.957972790853</v>
      </c>
      <c r="O60" s="172">
        <f t="shared" ref="O60:S60" si="53">SUM(O55:O59)</f>
        <v>28657.330752386573</v>
      </c>
      <c r="P60" s="172">
        <f t="shared" si="53"/>
        <v>30023.433736453386</v>
      </c>
      <c r="Q60" s="172">
        <f t="shared" si="53"/>
        <v>31314.401056396517</v>
      </c>
      <c r="R60" s="172">
        <f t="shared" si="53"/>
        <v>32588.514080773723</v>
      </c>
      <c r="S60" s="172">
        <f t="shared" si="53"/>
        <v>33838.64380116266</v>
      </c>
    </row>
    <row r="61" spans="2:20">
      <c r="B61" s="56"/>
      <c r="C61" s="2"/>
      <c r="D61" s="176"/>
      <c r="E61" s="176"/>
      <c r="F61" s="176"/>
      <c r="G61" s="7"/>
      <c r="H61" s="7"/>
      <c r="I61" s="7"/>
      <c r="J61" s="7"/>
      <c r="K61" s="7"/>
      <c r="L61" s="7"/>
      <c r="M61" s="7"/>
      <c r="N61" s="7"/>
      <c r="O61" s="7"/>
      <c r="P61" s="7"/>
      <c r="Q61" s="7"/>
      <c r="R61" s="7"/>
      <c r="S61" s="7"/>
    </row>
    <row r="62" spans="2:20" ht="15" thickBot="1">
      <c r="B62" s="73" t="s">
        <v>14</v>
      </c>
      <c r="C62" s="8"/>
      <c r="D62" s="304">
        <f ca="1">D60+D53</f>
        <v>12449.6</v>
      </c>
      <c r="E62" s="304">
        <f t="shared" ref="E62:H62" ca="1" si="54">E60+E53</f>
        <v>14559</v>
      </c>
      <c r="F62" s="304">
        <f t="shared" ca="1" si="54"/>
        <v>16139.9</v>
      </c>
      <c r="G62" s="304">
        <f t="shared" ca="1" si="54"/>
        <v>19198.2</v>
      </c>
      <c r="H62" s="304">
        <f t="shared" ca="1" si="54"/>
        <v>23114.799999999999</v>
      </c>
      <c r="I62" s="304">
        <f t="shared" ref="I62:M62" si="55">SUM(I60+I53)</f>
        <v>28355.480734371409</v>
      </c>
      <c r="J62" s="304">
        <f t="shared" si="55"/>
        <v>31689.177512123075</v>
      </c>
      <c r="K62" s="304">
        <f t="shared" si="55"/>
        <v>35644.416995919324</v>
      </c>
      <c r="L62" s="304">
        <f t="shared" si="55"/>
        <v>39752.408227877851</v>
      </c>
      <c r="M62" s="304">
        <f t="shared" si="55"/>
        <v>43740.083616891148</v>
      </c>
      <c r="N62" s="304">
        <f>N60+N53</f>
        <v>47369.118516243994</v>
      </c>
      <c r="O62" s="304">
        <f t="shared" ref="O62:S62" si="56">O60+O53</f>
        <v>50894.368572703665</v>
      </c>
      <c r="P62" s="304">
        <f t="shared" si="56"/>
        <v>54169.480786691245</v>
      </c>
      <c r="Q62" s="304">
        <f t="shared" si="56"/>
        <v>57143.96312343188</v>
      </c>
      <c r="R62" s="304">
        <f t="shared" si="56"/>
        <v>59794.682516598346</v>
      </c>
      <c r="S62" s="304">
        <f t="shared" si="56"/>
        <v>62018.571629619662</v>
      </c>
    </row>
    <row r="63" spans="2:20">
      <c r="B63" s="3"/>
      <c r="C63" s="2"/>
    </row>
    <row r="64" spans="2:20">
      <c r="B64" s="3"/>
      <c r="C64" s="2"/>
      <c r="D64" s="176"/>
      <c r="E64" s="176"/>
      <c r="F64" s="176"/>
      <c r="G64" s="7"/>
      <c r="H64" s="7"/>
    </row>
    <row r="65" spans="2:19">
      <c r="B65" s="9" t="s">
        <v>15</v>
      </c>
      <c r="C65" s="2"/>
      <c r="D65" s="176"/>
      <c r="E65" s="176"/>
      <c r="F65" s="176"/>
      <c r="G65" s="7"/>
      <c r="H65" s="7"/>
      <c r="I65" s="7"/>
      <c r="J65" s="7"/>
      <c r="K65" s="7"/>
      <c r="L65" s="7"/>
      <c r="M65" s="7"/>
      <c r="N65" s="7"/>
      <c r="O65" s="7"/>
      <c r="P65" s="7"/>
      <c r="Q65" s="7"/>
      <c r="R65" s="7"/>
      <c r="S65" s="7"/>
    </row>
    <row r="66" spans="2:19">
      <c r="B66" s="57" t="s">
        <v>20</v>
      </c>
      <c r="C66" s="2"/>
      <c r="D66" s="147">
        <f>BS!G42</f>
        <v>27</v>
      </c>
      <c r="E66" s="147">
        <f>BS!H42</f>
        <v>27</v>
      </c>
      <c r="F66" s="147">
        <f>BS!I42</f>
        <v>27</v>
      </c>
      <c r="G66" s="147">
        <f>BS!J42</f>
        <v>27</v>
      </c>
      <c r="H66" s="147">
        <f>BS!K42</f>
        <v>27</v>
      </c>
      <c r="I66" s="147">
        <f t="shared" ref="I66:N66" si="57">H66</f>
        <v>27</v>
      </c>
      <c r="J66" s="147">
        <f t="shared" si="57"/>
        <v>27</v>
      </c>
      <c r="K66" s="147">
        <f t="shared" si="57"/>
        <v>27</v>
      </c>
      <c r="L66" s="147">
        <f t="shared" si="57"/>
        <v>27</v>
      </c>
      <c r="M66" s="147">
        <f t="shared" si="57"/>
        <v>27</v>
      </c>
      <c r="N66" s="147">
        <f t="shared" si="57"/>
        <v>27</v>
      </c>
      <c r="O66" s="147">
        <f t="shared" ref="O66" si="58">N66</f>
        <v>27</v>
      </c>
      <c r="P66" s="147">
        <f t="shared" ref="P66" si="59">O66</f>
        <v>27</v>
      </c>
      <c r="Q66" s="147">
        <f t="shared" ref="Q66" si="60">P66</f>
        <v>27</v>
      </c>
      <c r="R66" s="147">
        <f t="shared" ref="R66" si="61">Q66</f>
        <v>27</v>
      </c>
      <c r="S66" s="147">
        <f t="shared" ref="S66" si="62">R66</f>
        <v>27</v>
      </c>
    </row>
    <row r="67" spans="2:19">
      <c r="B67" s="74" t="s">
        <v>583</v>
      </c>
      <c r="C67" s="4"/>
      <c r="D67" s="147">
        <f>BS!G43</f>
        <v>9954</v>
      </c>
      <c r="E67" s="147">
        <f>BS!H43</f>
        <v>11411</v>
      </c>
      <c r="F67" s="147">
        <f>BS!I43</f>
        <v>12581</v>
      </c>
      <c r="G67" s="147">
        <f>BS!J43</f>
        <v>14963</v>
      </c>
      <c r="H67" s="147">
        <f>BS!K43</f>
        <v>18018</v>
      </c>
      <c r="I67" s="147">
        <f>Schedules!I83</f>
        <v>21314.366815514975</v>
      </c>
      <c r="J67" s="147">
        <f>Schedules!J83</f>
        <v>24407.07207459267</v>
      </c>
      <c r="K67" s="147">
        <f>Schedules!K83</f>
        <v>27683.621924385039</v>
      </c>
      <c r="L67" s="147">
        <f>Schedules!L83</f>
        <v>31157.006138149602</v>
      </c>
      <c r="M67" s="147">
        <f>Schedules!M83</f>
        <v>34567.234975396648</v>
      </c>
      <c r="N67" s="147">
        <f>Schedules!N83</f>
        <v>37824.137269985309</v>
      </c>
      <c r="O67" s="147">
        <f>Schedules!O83</f>
        <v>40881.441405072474</v>
      </c>
      <c r="P67" s="147">
        <f>Schedules!P83</f>
        <v>43692.764261352611</v>
      </c>
      <c r="Q67" s="147">
        <f>Schedules!Q83</f>
        <v>46212.772790582283</v>
      </c>
      <c r="R67" s="147">
        <f>Schedules!R83</f>
        <v>48403.508671612188</v>
      </c>
      <c r="S67" s="147">
        <f>Schedules!S83</f>
        <v>50227.313141140454</v>
      </c>
    </row>
    <row r="68" spans="2:19">
      <c r="B68" s="1" t="s">
        <v>22</v>
      </c>
      <c r="C68" s="2"/>
      <c r="D68" s="172">
        <f>SUM(D66:D67)</f>
        <v>9981</v>
      </c>
      <c r="E68" s="172">
        <f t="shared" ref="E68:F68" si="63">SUM(E66:E67)</f>
        <v>11438</v>
      </c>
      <c r="F68" s="172">
        <f t="shared" si="63"/>
        <v>12608</v>
      </c>
      <c r="G68" s="172">
        <f t="shared" ref="G68:N68" si="64">SUM(G66:G67)</f>
        <v>14990</v>
      </c>
      <c r="H68" s="172">
        <f t="shared" si="64"/>
        <v>18045</v>
      </c>
      <c r="I68" s="172">
        <f t="shared" si="64"/>
        <v>21341.366815514975</v>
      </c>
      <c r="J68" s="172">
        <f t="shared" si="64"/>
        <v>24434.07207459267</v>
      </c>
      <c r="K68" s="172">
        <f t="shared" si="64"/>
        <v>27710.621924385039</v>
      </c>
      <c r="L68" s="172">
        <f t="shared" si="64"/>
        <v>31184.006138149602</v>
      </c>
      <c r="M68" s="172">
        <f t="shared" si="64"/>
        <v>34594.234975396648</v>
      </c>
      <c r="N68" s="172">
        <f t="shared" si="64"/>
        <v>37851.137269985309</v>
      </c>
      <c r="O68" s="172">
        <f t="shared" ref="O68:S68" si="65">SUM(O66:O67)</f>
        <v>40908.441405072474</v>
      </c>
      <c r="P68" s="172">
        <f t="shared" si="65"/>
        <v>43719.764261352611</v>
      </c>
      <c r="Q68" s="172">
        <f t="shared" si="65"/>
        <v>46239.772790582283</v>
      </c>
      <c r="R68" s="172">
        <f t="shared" si="65"/>
        <v>48430.508671612188</v>
      </c>
      <c r="S68" s="172">
        <f t="shared" si="65"/>
        <v>50254.313141140454</v>
      </c>
    </row>
    <row r="69" spans="2:19">
      <c r="B69" s="3"/>
      <c r="C69" s="2"/>
      <c r="D69" s="176"/>
      <c r="E69" s="176"/>
      <c r="F69" s="176"/>
      <c r="G69" s="7"/>
      <c r="H69" s="7"/>
      <c r="I69" s="7"/>
      <c r="J69" s="7"/>
      <c r="K69" s="7"/>
      <c r="L69" s="7"/>
      <c r="M69" s="7"/>
      <c r="N69" s="7"/>
      <c r="O69" s="7"/>
      <c r="P69" s="7"/>
      <c r="Q69" s="7"/>
      <c r="R69" s="7"/>
      <c r="S69" s="7"/>
    </row>
    <row r="70" spans="2:19">
      <c r="B70" s="57" t="s">
        <v>157</v>
      </c>
      <c r="C70" s="2"/>
      <c r="D70" s="147">
        <f>Schedules!D116</f>
        <v>1069.3169934640523</v>
      </c>
      <c r="E70" s="147">
        <f>Schedules!E116</f>
        <v>1731.681045751634</v>
      </c>
      <c r="F70" s="147">
        <f>Schedules!F116</f>
        <v>1818.9542483660132</v>
      </c>
      <c r="G70" s="147">
        <f>Schedules!G116</f>
        <v>1690.6745098039216</v>
      </c>
      <c r="H70" s="147">
        <f>Schedules!H116</f>
        <v>1906.8908496732026</v>
      </c>
      <c r="I70" s="147">
        <f>Schedules!I116</f>
        <v>2579.6755839649313</v>
      </c>
      <c r="J70" s="147">
        <f>Schedules!J116</f>
        <v>2597.0471367189043</v>
      </c>
      <c r="K70" s="147">
        <f>Schedules!K116</f>
        <v>2984.2854151403835</v>
      </c>
      <c r="L70" s="147">
        <f>Schedules!L116</f>
        <v>3351.4429540940173</v>
      </c>
      <c r="M70" s="147">
        <f>Schedules!M116</f>
        <v>3709.1351837511475</v>
      </c>
      <c r="N70" s="147">
        <f>Schedules!N116</f>
        <v>3931.6832947762168</v>
      </c>
      <c r="O70" s="147">
        <f>Schedules!O116</f>
        <v>4254.2829497322136</v>
      </c>
      <c r="P70" s="147">
        <f>Schedules!P116</f>
        <v>4578.6720246492951</v>
      </c>
      <c r="Q70" s="147">
        <f>Schedules!Q116</f>
        <v>4901.4125649233547</v>
      </c>
      <c r="R70" s="147">
        <f>Schedules!R116</f>
        <v>5231.3826608119443</v>
      </c>
      <c r="S70" s="147">
        <f>Schedules!S116</f>
        <v>5503.9011994216835</v>
      </c>
    </row>
    <row r="71" spans="2:19">
      <c r="B71" s="57" t="s">
        <v>612</v>
      </c>
      <c r="C71" s="2"/>
      <c r="D71" s="147">
        <f>Schedules!D120</f>
        <v>301.70588235294122</v>
      </c>
      <c r="E71" s="147">
        <f>Schedules!E120</f>
        <v>482.05882352941182</v>
      </c>
      <c r="F71" s="147">
        <f>Schedules!F120</f>
        <v>206.1764705882353</v>
      </c>
      <c r="G71" s="147">
        <f>Schedules!G120</f>
        <v>156.94117647058823</v>
      </c>
      <c r="H71" s="147">
        <f>Schedules!H120</f>
        <v>84.235294117647058</v>
      </c>
      <c r="I71" s="147">
        <f>Schedules!I111</f>
        <v>1339.8327072</v>
      </c>
      <c r="J71" s="147">
        <f>Schedules!J111</f>
        <v>1540.8076132799997</v>
      </c>
      <c r="K71" s="147">
        <f>Schedules!K111</f>
        <v>1802.7449075375996</v>
      </c>
      <c r="L71" s="147">
        <f>Schedules!L111</f>
        <v>2043.1108952092793</v>
      </c>
      <c r="M71" s="147">
        <f>Schedules!M111</f>
        <v>2240.6116150795096</v>
      </c>
      <c r="N71" s="147">
        <f>Schedules!N111</f>
        <v>2375.0483119842806</v>
      </c>
      <c r="O71" s="147">
        <f>Schedules!O111</f>
        <v>2505.6759691434158</v>
      </c>
      <c r="P71" s="147">
        <f>Schedules!P111</f>
        <v>2630.9597676005869</v>
      </c>
      <c r="Q71" s="147">
        <f>Schedules!Q111</f>
        <v>2749.3529571426129</v>
      </c>
      <c r="R71" s="147">
        <f>Schedules!R111</f>
        <v>2866.200457821174</v>
      </c>
      <c r="S71" s="147">
        <f>Schedules!S111</f>
        <v>2980.848476134021</v>
      </c>
    </row>
    <row r="72" spans="2:19">
      <c r="B72" s="57" t="str">
        <f>BS!B54</f>
        <v>Short Term Provisions</v>
      </c>
      <c r="C72" s="2"/>
      <c r="D72" s="147">
        <f>BS!G54</f>
        <v>225.3169934640523</v>
      </c>
      <c r="E72" s="147">
        <f>BS!H54</f>
        <v>439.68104575163397</v>
      </c>
      <c r="F72" s="147">
        <f>BS!I54</f>
        <v>322.95424836601308</v>
      </c>
      <c r="G72" s="147">
        <f>BS!J54</f>
        <v>258.67450980392164</v>
      </c>
      <c r="H72" s="147">
        <f>BS!K54</f>
        <v>128.89084967320258</v>
      </c>
      <c r="I72" s="190">
        <f>H72</f>
        <v>128.89084967320258</v>
      </c>
      <c r="J72" s="190">
        <f t="shared" ref="J72:N72" si="66">I72</f>
        <v>128.89084967320258</v>
      </c>
      <c r="K72" s="190">
        <f t="shared" si="66"/>
        <v>128.89084967320258</v>
      </c>
      <c r="L72" s="190">
        <f t="shared" si="66"/>
        <v>128.89084967320258</v>
      </c>
      <c r="M72" s="190">
        <f t="shared" si="66"/>
        <v>128.89084967320258</v>
      </c>
      <c r="N72" s="190">
        <f t="shared" si="66"/>
        <v>128.89084967320258</v>
      </c>
      <c r="O72" s="190">
        <f t="shared" ref="O72:O79" si="67">N72</f>
        <v>128.89084967320258</v>
      </c>
      <c r="P72" s="190">
        <f t="shared" ref="P72:P79" si="68">O72</f>
        <v>128.89084967320258</v>
      </c>
      <c r="Q72" s="190">
        <f t="shared" ref="Q72:Q79" si="69">P72</f>
        <v>128.89084967320258</v>
      </c>
      <c r="R72" s="190">
        <f t="shared" ref="R72:R79" si="70">Q72</f>
        <v>128.89084967320258</v>
      </c>
      <c r="S72" s="190">
        <f t="shared" ref="S72:S79" si="71">R72</f>
        <v>128.89084967320258</v>
      </c>
    </row>
    <row r="73" spans="2:19">
      <c r="B73" s="57" t="str">
        <f>BS!B55</f>
        <v>Provision for Tax</v>
      </c>
      <c r="C73" s="2"/>
      <c r="D73" s="147">
        <f>BS!G55</f>
        <v>151.3169934640523</v>
      </c>
      <c r="E73" s="147">
        <f>BS!H55</f>
        <v>349.68104575163397</v>
      </c>
      <c r="F73" s="147">
        <f>BS!I55</f>
        <v>201.95424836601308</v>
      </c>
      <c r="G73" s="147">
        <f>BS!J55</f>
        <v>103.67450980392161</v>
      </c>
      <c r="H73" s="147">
        <f>BS!K55</f>
        <v>28.890849673202567</v>
      </c>
      <c r="I73" s="190">
        <f t="shared" ref="I73:N79" si="72">H73</f>
        <v>28.890849673202567</v>
      </c>
      <c r="J73" s="190">
        <f t="shared" si="72"/>
        <v>28.890849673202567</v>
      </c>
      <c r="K73" s="190">
        <f t="shared" si="72"/>
        <v>28.890849673202567</v>
      </c>
      <c r="L73" s="190">
        <f t="shared" si="72"/>
        <v>28.890849673202567</v>
      </c>
      <c r="M73" s="190">
        <f t="shared" si="72"/>
        <v>28.890849673202567</v>
      </c>
      <c r="N73" s="190">
        <f t="shared" si="72"/>
        <v>28.890849673202567</v>
      </c>
      <c r="O73" s="190">
        <f t="shared" si="67"/>
        <v>28.890849673202567</v>
      </c>
      <c r="P73" s="190">
        <f t="shared" si="68"/>
        <v>28.890849673202567</v>
      </c>
      <c r="Q73" s="190">
        <f t="shared" si="69"/>
        <v>28.890849673202567</v>
      </c>
      <c r="R73" s="190">
        <f t="shared" si="70"/>
        <v>28.890849673202567</v>
      </c>
      <c r="S73" s="190">
        <f t="shared" si="71"/>
        <v>28.890849673202567</v>
      </c>
    </row>
    <row r="74" spans="2:19">
      <c r="B74" s="57" t="str">
        <f>BS!B56</f>
        <v>Other Provisions</v>
      </c>
      <c r="C74" s="2"/>
      <c r="D74" s="147">
        <f>BS!G56</f>
        <v>135.3169934640523</v>
      </c>
      <c r="E74" s="147">
        <f>BS!H56</f>
        <v>308.68104575163397</v>
      </c>
      <c r="F74" s="147">
        <f>BS!I56</f>
        <v>152.95424836601308</v>
      </c>
      <c r="G74" s="147">
        <f>BS!J56</f>
        <v>35.674509803921609</v>
      </c>
      <c r="H74" s="147">
        <f>BS!K56</f>
        <v>-83.109150326797433</v>
      </c>
      <c r="I74" s="190">
        <f t="shared" si="72"/>
        <v>-83.109150326797433</v>
      </c>
      <c r="J74" s="190">
        <f t="shared" si="72"/>
        <v>-83.109150326797433</v>
      </c>
      <c r="K74" s="190">
        <f t="shared" si="72"/>
        <v>-83.109150326797433</v>
      </c>
      <c r="L74" s="190">
        <f t="shared" si="72"/>
        <v>-83.109150326797433</v>
      </c>
      <c r="M74" s="190">
        <f t="shared" si="72"/>
        <v>-83.109150326797433</v>
      </c>
      <c r="N74" s="190">
        <f t="shared" si="72"/>
        <v>-83.109150326797433</v>
      </c>
      <c r="O74" s="190">
        <f t="shared" si="67"/>
        <v>-83.109150326797433</v>
      </c>
      <c r="P74" s="190">
        <f t="shared" si="68"/>
        <v>-83.109150326797433</v>
      </c>
      <c r="Q74" s="190">
        <f t="shared" si="69"/>
        <v>-83.109150326797433</v>
      </c>
      <c r="R74" s="190">
        <f t="shared" si="70"/>
        <v>-83.109150326797433</v>
      </c>
      <c r="S74" s="190">
        <f t="shared" si="71"/>
        <v>-83.109150326797433</v>
      </c>
    </row>
    <row r="75" spans="2:19">
      <c r="B75" s="57" t="str">
        <f>BS!B57</f>
        <v>Other Current Liabilities</v>
      </c>
      <c r="C75" s="2"/>
      <c r="D75" s="147">
        <f>BS!G57</f>
        <v>764.3169934640523</v>
      </c>
      <c r="E75" s="147">
        <f>BS!H57</f>
        <v>955.68104575163397</v>
      </c>
      <c r="F75" s="147">
        <f>BS!I57</f>
        <v>784.95424836601319</v>
      </c>
      <c r="G75" s="147">
        <f>BS!J57</f>
        <v>793.67450980392164</v>
      </c>
      <c r="H75" s="147">
        <f>BS!K57</f>
        <v>901.89084967320264</v>
      </c>
      <c r="I75" s="190">
        <f t="shared" si="72"/>
        <v>901.89084967320264</v>
      </c>
      <c r="J75" s="190">
        <f t="shared" si="72"/>
        <v>901.89084967320264</v>
      </c>
      <c r="K75" s="190">
        <f t="shared" si="72"/>
        <v>901.89084967320264</v>
      </c>
      <c r="L75" s="190">
        <f t="shared" si="72"/>
        <v>901.89084967320264</v>
      </c>
      <c r="M75" s="190">
        <f t="shared" si="72"/>
        <v>901.89084967320264</v>
      </c>
      <c r="N75" s="190">
        <f t="shared" si="72"/>
        <v>901.89084967320264</v>
      </c>
      <c r="O75" s="190">
        <f t="shared" si="67"/>
        <v>901.89084967320264</v>
      </c>
      <c r="P75" s="190">
        <f t="shared" si="68"/>
        <v>901.89084967320264</v>
      </c>
      <c r="Q75" s="190">
        <f t="shared" si="69"/>
        <v>901.89084967320264</v>
      </c>
      <c r="R75" s="190">
        <f t="shared" si="70"/>
        <v>901.89084967320264</v>
      </c>
      <c r="S75" s="190">
        <f t="shared" si="71"/>
        <v>901.89084967320264</v>
      </c>
    </row>
    <row r="76" spans="2:19">
      <c r="B76" s="57" t="str">
        <f>BS!B58</f>
        <v>Bank Overdraft / Short term credit</v>
      </c>
      <c r="C76" s="2"/>
      <c r="D76" s="147">
        <f>BS!G58</f>
        <v>61.316993464052302</v>
      </c>
      <c r="E76" s="147">
        <f>BS!H58</f>
        <v>218.68104575163397</v>
      </c>
      <c r="F76" s="147">
        <f>BS!I58</f>
        <v>30.954248366013076</v>
      </c>
      <c r="G76" s="147">
        <f>BS!J58</f>
        <v>-119.32549019607839</v>
      </c>
      <c r="H76" s="147">
        <f>BS!K58</f>
        <v>-183.10915032679742</v>
      </c>
      <c r="I76" s="190">
        <f t="shared" si="72"/>
        <v>-183.10915032679742</v>
      </c>
      <c r="J76" s="190">
        <f t="shared" si="72"/>
        <v>-183.10915032679742</v>
      </c>
      <c r="K76" s="190">
        <f t="shared" si="72"/>
        <v>-183.10915032679742</v>
      </c>
      <c r="L76" s="190">
        <f t="shared" si="72"/>
        <v>-183.10915032679742</v>
      </c>
      <c r="M76" s="190">
        <f t="shared" si="72"/>
        <v>-183.10915032679742</v>
      </c>
      <c r="N76" s="190">
        <f t="shared" si="72"/>
        <v>-183.10915032679742</v>
      </c>
      <c r="O76" s="190">
        <f t="shared" si="67"/>
        <v>-183.10915032679742</v>
      </c>
      <c r="P76" s="190">
        <f t="shared" si="68"/>
        <v>-183.10915032679742</v>
      </c>
      <c r="Q76" s="190">
        <f t="shared" si="69"/>
        <v>-183.10915032679742</v>
      </c>
      <c r="R76" s="190">
        <f t="shared" si="70"/>
        <v>-183.10915032679742</v>
      </c>
      <c r="S76" s="190">
        <f t="shared" si="71"/>
        <v>-183.10915032679742</v>
      </c>
    </row>
    <row r="77" spans="2:19">
      <c r="B77" s="57" t="str">
        <f>BS!B59</f>
        <v>Advances received from customers</v>
      </c>
      <c r="C77" s="2"/>
      <c r="D77" s="147">
        <f>BS!G59</f>
        <v>472.3169934640523</v>
      </c>
      <c r="E77" s="147">
        <f>BS!H59</f>
        <v>583.68104575163397</v>
      </c>
      <c r="F77" s="147">
        <f>BS!I59</f>
        <v>348.95424836601308</v>
      </c>
      <c r="G77" s="147">
        <f>BS!J59</f>
        <v>186.67450980392161</v>
      </c>
      <c r="H77" s="147">
        <f>BS!K59</f>
        <v>79.890849673202567</v>
      </c>
      <c r="I77" s="190">
        <f t="shared" si="72"/>
        <v>79.890849673202567</v>
      </c>
      <c r="J77" s="190">
        <f t="shared" si="72"/>
        <v>79.890849673202567</v>
      </c>
      <c r="K77" s="190">
        <f t="shared" si="72"/>
        <v>79.890849673202567</v>
      </c>
      <c r="L77" s="190">
        <f t="shared" si="72"/>
        <v>79.890849673202567</v>
      </c>
      <c r="M77" s="190">
        <f t="shared" si="72"/>
        <v>79.890849673202567</v>
      </c>
      <c r="N77" s="190">
        <f t="shared" si="72"/>
        <v>79.890849673202567</v>
      </c>
      <c r="O77" s="190">
        <f t="shared" si="67"/>
        <v>79.890849673202567</v>
      </c>
      <c r="P77" s="190">
        <f t="shared" si="68"/>
        <v>79.890849673202567</v>
      </c>
      <c r="Q77" s="190">
        <f t="shared" si="69"/>
        <v>79.890849673202567</v>
      </c>
      <c r="R77" s="190">
        <f t="shared" si="70"/>
        <v>79.890849673202567</v>
      </c>
      <c r="S77" s="190">
        <f t="shared" si="71"/>
        <v>79.890849673202567</v>
      </c>
    </row>
    <row r="78" spans="2:19">
      <c r="B78" s="57" t="str">
        <f>BS!B60</f>
        <v>Interest Accrued But Not Due</v>
      </c>
      <c r="C78" s="2"/>
      <c r="D78" s="147">
        <f>BS!G60</f>
        <v>63.816993464052302</v>
      </c>
      <c r="E78" s="147">
        <f>BS!H60</f>
        <v>221.08104575163398</v>
      </c>
      <c r="F78" s="147">
        <f>BS!I60</f>
        <v>30.954248366013076</v>
      </c>
      <c r="G78" s="147">
        <f>BS!J60</f>
        <v>-118.92549019607839</v>
      </c>
      <c r="H78" s="147">
        <f>BS!K60</f>
        <v>-183.00915032679745</v>
      </c>
      <c r="I78" s="190">
        <f t="shared" si="72"/>
        <v>-183.00915032679745</v>
      </c>
      <c r="J78" s="190">
        <f t="shared" si="72"/>
        <v>-183.00915032679745</v>
      </c>
      <c r="K78" s="190">
        <f t="shared" si="72"/>
        <v>-183.00915032679745</v>
      </c>
      <c r="L78" s="190">
        <f t="shared" si="72"/>
        <v>-183.00915032679745</v>
      </c>
      <c r="M78" s="190">
        <f t="shared" si="72"/>
        <v>-183.00915032679745</v>
      </c>
      <c r="N78" s="190">
        <f t="shared" si="72"/>
        <v>-183.00915032679745</v>
      </c>
      <c r="O78" s="190">
        <f t="shared" si="67"/>
        <v>-183.00915032679745</v>
      </c>
      <c r="P78" s="190">
        <f t="shared" si="68"/>
        <v>-183.00915032679745</v>
      </c>
      <c r="Q78" s="190">
        <f t="shared" si="69"/>
        <v>-183.00915032679745</v>
      </c>
      <c r="R78" s="190">
        <f t="shared" si="70"/>
        <v>-183.00915032679745</v>
      </c>
      <c r="S78" s="190">
        <f t="shared" si="71"/>
        <v>-183.00915032679745</v>
      </c>
    </row>
    <row r="79" spans="2:19">
      <c r="B79" s="74" t="str">
        <f>BS!B61</f>
        <v>Other Liabilities</v>
      </c>
      <c r="C79" s="4"/>
      <c r="D79" s="147">
        <f>BS!G61</f>
        <v>-1052.6830065359477</v>
      </c>
      <c r="E79" s="147">
        <f>BS!H61</f>
        <v>-2248.818954248366</v>
      </c>
      <c r="F79" s="147">
        <f>BS!I61</f>
        <v>-865.04575163398692</v>
      </c>
      <c r="G79" s="147">
        <f>BS!J61</f>
        <v>201.67450980392158</v>
      </c>
      <c r="H79" s="147">
        <f>BS!K61</f>
        <v>703.39084967320264</v>
      </c>
      <c r="I79" s="190">
        <f t="shared" si="72"/>
        <v>703.39084967320264</v>
      </c>
      <c r="J79" s="190">
        <f t="shared" si="72"/>
        <v>703.39084967320264</v>
      </c>
      <c r="K79" s="190">
        <f t="shared" si="72"/>
        <v>703.39084967320264</v>
      </c>
      <c r="L79" s="190">
        <f t="shared" si="72"/>
        <v>703.39084967320264</v>
      </c>
      <c r="M79" s="190">
        <f t="shared" si="72"/>
        <v>703.39084967320264</v>
      </c>
      <c r="N79" s="190">
        <f t="shared" si="72"/>
        <v>703.39084967320264</v>
      </c>
      <c r="O79" s="190">
        <f t="shared" si="67"/>
        <v>703.39084967320264</v>
      </c>
      <c r="P79" s="190">
        <f t="shared" si="68"/>
        <v>703.39084967320264</v>
      </c>
      <c r="Q79" s="190">
        <f t="shared" si="69"/>
        <v>703.39084967320264</v>
      </c>
      <c r="R79" s="190">
        <f t="shared" si="70"/>
        <v>703.39084967320264</v>
      </c>
      <c r="S79" s="190">
        <f t="shared" si="71"/>
        <v>703.39084967320264</v>
      </c>
    </row>
    <row r="80" spans="2:19">
      <c r="B80" s="1" t="s">
        <v>17</v>
      </c>
      <c r="C80" s="5"/>
      <c r="D80" s="172">
        <f t="shared" ref="D80:N80" si="73">SUM(D70:D79)</f>
        <v>2192.0588235294117</v>
      </c>
      <c r="E80" s="172">
        <f t="shared" si="73"/>
        <v>3042.0882352941171</v>
      </c>
      <c r="F80" s="172">
        <f t="shared" si="73"/>
        <v>3033.7647058823522</v>
      </c>
      <c r="G80" s="172">
        <f t="shared" si="73"/>
        <v>3189.4117647058815</v>
      </c>
      <c r="H80" s="172">
        <f t="shared" si="73"/>
        <v>3384.8529411764694</v>
      </c>
      <c r="I80" s="172">
        <f t="shared" si="73"/>
        <v>5313.2350885505521</v>
      </c>
      <c r="J80" s="172">
        <f t="shared" si="73"/>
        <v>5531.5815473845259</v>
      </c>
      <c r="K80" s="172">
        <f t="shared" si="73"/>
        <v>6180.7571200636057</v>
      </c>
      <c r="L80" s="172">
        <f t="shared" si="73"/>
        <v>6788.2806466889188</v>
      </c>
      <c r="M80" s="172">
        <f t="shared" si="73"/>
        <v>7343.4735962162795</v>
      </c>
      <c r="N80" s="172">
        <f t="shared" si="73"/>
        <v>7700.4584041461194</v>
      </c>
      <c r="O80" s="172">
        <f t="shared" ref="O80:S80" si="74">SUM(O70:O79)</f>
        <v>8153.6857162612514</v>
      </c>
      <c r="P80" s="172">
        <f t="shared" si="74"/>
        <v>8603.3585896355034</v>
      </c>
      <c r="Q80" s="172">
        <f t="shared" si="74"/>
        <v>9044.4923194515868</v>
      </c>
      <c r="R80" s="172">
        <f t="shared" si="74"/>
        <v>9491.3099160187357</v>
      </c>
      <c r="S80" s="172">
        <f t="shared" si="74"/>
        <v>9878.47647294132</v>
      </c>
    </row>
    <row r="81" spans="2:19">
      <c r="B81" s="3"/>
      <c r="C81" s="2"/>
      <c r="D81" s="176"/>
      <c r="E81" s="176"/>
      <c r="F81" s="176"/>
      <c r="G81" s="7"/>
      <c r="H81" s="7"/>
      <c r="I81" s="7"/>
      <c r="J81" s="7"/>
      <c r="K81" s="7"/>
      <c r="L81" s="7"/>
      <c r="M81" s="7"/>
      <c r="N81" s="7"/>
      <c r="O81" s="7"/>
      <c r="P81" s="7"/>
      <c r="Q81" s="7"/>
      <c r="R81" s="7"/>
      <c r="S81" s="7"/>
    </row>
    <row r="82" spans="2:19">
      <c r="B82" s="57" t="s">
        <v>614</v>
      </c>
      <c r="C82" s="2"/>
      <c r="D82" s="147">
        <f>Schedules!D142</f>
        <v>157.70588235294119</v>
      </c>
      <c r="E82" s="147">
        <f>Schedules!E142</f>
        <v>325.05882352941177</v>
      </c>
      <c r="F82" s="147">
        <f>Schedules!F142</f>
        <v>147.1764705882353</v>
      </c>
      <c r="G82" s="147">
        <f>Schedules!G142</f>
        <v>86.941176470588232</v>
      </c>
      <c r="H82" s="147">
        <f>Schedules!H142</f>
        <v>135.23529411764707</v>
      </c>
      <c r="I82" s="147">
        <f>Schedules!I142</f>
        <v>150.96706560000001</v>
      </c>
      <c r="J82" s="147">
        <f>Schedules!J142</f>
        <v>173.61212543999997</v>
      </c>
      <c r="K82" s="147">
        <f>Schedules!K142</f>
        <v>203.12618676479997</v>
      </c>
      <c r="L82" s="147">
        <f>Schedules!L142</f>
        <v>230.20967833343997</v>
      </c>
      <c r="M82" s="147">
        <f>Schedules!M142</f>
        <v>252.46328057233913</v>
      </c>
      <c r="N82" s="147">
        <f>Schedules!N142</f>
        <v>267.6110774066795</v>
      </c>
      <c r="O82" s="147">
        <f>Schedules!O142</f>
        <v>282.3296866640469</v>
      </c>
      <c r="P82" s="147">
        <f>Schedules!P142</f>
        <v>296.44617099724928</v>
      </c>
      <c r="Q82" s="147">
        <f>Schedules!Q142</f>
        <v>309.78624869212541</v>
      </c>
      <c r="R82" s="147">
        <f>Schedules!R142</f>
        <v>322.95216426154076</v>
      </c>
      <c r="S82" s="147">
        <f>Schedules!S142</f>
        <v>335.8702508320024</v>
      </c>
    </row>
    <row r="83" spans="2:19">
      <c r="B83" s="57" t="str">
        <f>BS!B48</f>
        <v>Deferred Tax Assets</v>
      </c>
      <c r="C83" s="2"/>
      <c r="D83" s="147">
        <f>BS!G48</f>
        <v>294.55882352941182</v>
      </c>
      <c r="E83" s="147">
        <f>BS!H48</f>
        <v>543.1882352941177</v>
      </c>
      <c r="F83" s="147">
        <f>BS!I48</f>
        <v>287.96470588235297</v>
      </c>
      <c r="G83" s="147">
        <f>BS!J48</f>
        <v>129.21176470588242</v>
      </c>
      <c r="H83" s="147">
        <f>BS!K48</f>
        <v>92.2529411764706</v>
      </c>
      <c r="I83" s="190">
        <f>H83</f>
        <v>92.2529411764706</v>
      </c>
      <c r="J83" s="190">
        <f t="shared" ref="J83:N83" si="75">I83</f>
        <v>92.2529411764706</v>
      </c>
      <c r="K83" s="190">
        <f t="shared" si="75"/>
        <v>92.2529411764706</v>
      </c>
      <c r="L83" s="190">
        <f t="shared" si="75"/>
        <v>92.2529411764706</v>
      </c>
      <c r="M83" s="190">
        <f t="shared" si="75"/>
        <v>92.2529411764706</v>
      </c>
      <c r="N83" s="190">
        <f t="shared" si="75"/>
        <v>92.2529411764706</v>
      </c>
      <c r="O83" s="190">
        <f t="shared" ref="O83:O86" si="76">N83</f>
        <v>92.2529411764706</v>
      </c>
      <c r="P83" s="190">
        <f t="shared" ref="P83:P86" si="77">O83</f>
        <v>92.2529411764706</v>
      </c>
      <c r="Q83" s="190">
        <f t="shared" ref="Q83:Q86" si="78">P83</f>
        <v>92.2529411764706</v>
      </c>
      <c r="R83" s="190">
        <f t="shared" ref="R83:R86" si="79">Q83</f>
        <v>92.2529411764706</v>
      </c>
      <c r="S83" s="190">
        <f t="shared" ref="S83:S86" si="80">R83</f>
        <v>92.2529411764706</v>
      </c>
    </row>
    <row r="84" spans="2:19">
      <c r="B84" s="57" t="str">
        <f>BS!B49</f>
        <v>Deferred Tax Liability</v>
      </c>
      <c r="C84" s="2"/>
      <c r="D84" s="147">
        <f>BS!G49</f>
        <v>546.55882352941182</v>
      </c>
      <c r="E84" s="147">
        <f>BS!H49</f>
        <v>764.1882352941177</v>
      </c>
      <c r="F84" s="147">
        <f>BS!I49</f>
        <v>507.96470588235297</v>
      </c>
      <c r="G84" s="147">
        <f>BS!J49</f>
        <v>420.21176470588239</v>
      </c>
      <c r="H84" s="147">
        <f>BS!K49</f>
        <v>540.25294117647059</v>
      </c>
      <c r="I84" s="190">
        <f t="shared" ref="I84:N84" si="81">H84</f>
        <v>540.25294117647059</v>
      </c>
      <c r="J84" s="190">
        <f t="shared" si="81"/>
        <v>540.25294117647059</v>
      </c>
      <c r="K84" s="190">
        <f t="shared" si="81"/>
        <v>540.25294117647059</v>
      </c>
      <c r="L84" s="190">
        <f t="shared" si="81"/>
        <v>540.25294117647059</v>
      </c>
      <c r="M84" s="190">
        <f t="shared" si="81"/>
        <v>540.25294117647059</v>
      </c>
      <c r="N84" s="190">
        <f t="shared" si="81"/>
        <v>540.25294117647059</v>
      </c>
      <c r="O84" s="190">
        <f t="shared" si="76"/>
        <v>540.25294117647059</v>
      </c>
      <c r="P84" s="190">
        <f t="shared" si="77"/>
        <v>540.25294117647059</v>
      </c>
      <c r="Q84" s="190">
        <f t="shared" si="78"/>
        <v>540.25294117647059</v>
      </c>
      <c r="R84" s="190">
        <f t="shared" si="79"/>
        <v>540.25294117647059</v>
      </c>
      <c r="S84" s="190">
        <f t="shared" si="80"/>
        <v>540.25294117647059</v>
      </c>
    </row>
    <row r="85" spans="2:19">
      <c r="B85" s="57" t="str">
        <f>BS!B50</f>
        <v>Other Long Term Liabilities</v>
      </c>
      <c r="C85" s="2"/>
      <c r="D85" s="147">
        <f>BS!G50</f>
        <v>-1126.2941176470588</v>
      </c>
      <c r="E85" s="147">
        <f>BS!H50</f>
        <v>-2319.0411764705882</v>
      </c>
      <c r="F85" s="147">
        <f>BS!I50</f>
        <v>-902.02352941176468</v>
      </c>
      <c r="G85" s="147">
        <f>BS!J50</f>
        <v>162.14117647058822</v>
      </c>
      <c r="H85" s="147">
        <f>BS!K50</f>
        <v>587.33529411764709</v>
      </c>
      <c r="I85" s="190">
        <f t="shared" ref="I85:N85" si="82">H85</f>
        <v>587.33529411764709</v>
      </c>
      <c r="J85" s="190">
        <f t="shared" si="82"/>
        <v>587.33529411764709</v>
      </c>
      <c r="K85" s="190">
        <f t="shared" si="82"/>
        <v>587.33529411764709</v>
      </c>
      <c r="L85" s="190">
        <f t="shared" si="82"/>
        <v>587.33529411764709</v>
      </c>
      <c r="M85" s="190">
        <f t="shared" si="82"/>
        <v>587.33529411764709</v>
      </c>
      <c r="N85" s="190">
        <f t="shared" si="82"/>
        <v>587.33529411764709</v>
      </c>
      <c r="O85" s="190">
        <f t="shared" si="76"/>
        <v>587.33529411764709</v>
      </c>
      <c r="P85" s="190">
        <f t="shared" si="77"/>
        <v>587.33529411764709</v>
      </c>
      <c r="Q85" s="190">
        <f t="shared" si="78"/>
        <v>587.33529411764709</v>
      </c>
      <c r="R85" s="190">
        <f t="shared" si="79"/>
        <v>587.33529411764709</v>
      </c>
      <c r="S85" s="190">
        <f t="shared" si="80"/>
        <v>587.33529411764709</v>
      </c>
    </row>
    <row r="86" spans="2:19">
      <c r="B86" s="57" t="str">
        <f>BS!B51</f>
        <v>Long Term Provisions</v>
      </c>
      <c r="C86" s="2"/>
      <c r="D86" s="147">
        <f>BS!G51</f>
        <v>120.70588235294119</v>
      </c>
      <c r="E86" s="147">
        <f>BS!H51</f>
        <v>292.45882352941175</v>
      </c>
      <c r="F86" s="147">
        <f>BS!I51</f>
        <v>147.97647058823532</v>
      </c>
      <c r="G86" s="147">
        <f>BS!J51</f>
        <v>33.141176470588235</v>
      </c>
      <c r="H86" s="147">
        <f>BS!K51</f>
        <v>13.835294117647052</v>
      </c>
      <c r="I86" s="190">
        <f t="shared" ref="I86:N86" si="83">H86</f>
        <v>13.835294117647052</v>
      </c>
      <c r="J86" s="190">
        <f t="shared" si="83"/>
        <v>13.835294117647052</v>
      </c>
      <c r="K86" s="190">
        <f t="shared" si="83"/>
        <v>13.835294117647052</v>
      </c>
      <c r="L86" s="190">
        <f t="shared" si="83"/>
        <v>13.835294117647052</v>
      </c>
      <c r="M86" s="190">
        <f t="shared" si="83"/>
        <v>13.835294117647052</v>
      </c>
      <c r="N86" s="190">
        <f t="shared" si="83"/>
        <v>13.835294117647052</v>
      </c>
      <c r="O86" s="190">
        <f t="shared" si="76"/>
        <v>13.835294117647052</v>
      </c>
      <c r="P86" s="190">
        <f t="shared" si="77"/>
        <v>13.835294117647052</v>
      </c>
      <c r="Q86" s="190">
        <f t="shared" si="78"/>
        <v>13.835294117647052</v>
      </c>
      <c r="R86" s="190">
        <f t="shared" si="79"/>
        <v>13.835294117647052</v>
      </c>
      <c r="S86" s="190">
        <f t="shared" si="80"/>
        <v>13.835294117647052</v>
      </c>
    </row>
    <row r="87" spans="2:19">
      <c r="B87" s="61" t="s">
        <v>19</v>
      </c>
      <c r="C87" s="305"/>
      <c r="D87" s="172">
        <f>SUM(D82:D86)</f>
        <v>-6.7647058823527288</v>
      </c>
      <c r="E87" s="172">
        <f t="shared" ref="E87:G87" si="84">SUM(E82:E86)</f>
        <v>-394.14705882352933</v>
      </c>
      <c r="F87" s="172">
        <f t="shared" si="84"/>
        <v>189.05882352941194</v>
      </c>
      <c r="G87" s="172">
        <f t="shared" si="84"/>
        <v>831.64705882352951</v>
      </c>
      <c r="H87" s="172">
        <f t="shared" ref="H87:N87" si="85">SUM(H82:H86)</f>
        <v>1368.9117647058822</v>
      </c>
      <c r="I87" s="172">
        <f t="shared" si="85"/>
        <v>1384.6435361882352</v>
      </c>
      <c r="J87" s="172">
        <f t="shared" si="85"/>
        <v>1407.2885960282354</v>
      </c>
      <c r="K87" s="172">
        <f t="shared" si="85"/>
        <v>1436.8026573530353</v>
      </c>
      <c r="L87" s="172">
        <f t="shared" si="85"/>
        <v>1463.8861489216754</v>
      </c>
      <c r="M87" s="172">
        <f t="shared" si="85"/>
        <v>1486.1397511605744</v>
      </c>
      <c r="N87" s="172">
        <f t="shared" si="85"/>
        <v>1501.2875479949146</v>
      </c>
      <c r="O87" s="172">
        <f t="shared" ref="O87:S87" si="86">SUM(O82:O86)</f>
        <v>1516.006157252282</v>
      </c>
      <c r="P87" s="172">
        <f t="shared" si="86"/>
        <v>1530.1226415854846</v>
      </c>
      <c r="Q87" s="172">
        <f t="shared" si="86"/>
        <v>1543.4627192803607</v>
      </c>
      <c r="R87" s="172">
        <f t="shared" si="86"/>
        <v>1556.6286348497758</v>
      </c>
      <c r="S87" s="172">
        <f t="shared" si="86"/>
        <v>1569.5467214202376</v>
      </c>
    </row>
    <row r="88" spans="2:19">
      <c r="B88" s="3"/>
      <c r="C88" s="2"/>
      <c r="D88" s="176"/>
      <c r="E88" s="176"/>
      <c r="F88" s="176"/>
      <c r="G88" s="7"/>
      <c r="H88" s="7"/>
      <c r="I88" s="7"/>
      <c r="J88" s="7"/>
      <c r="K88" s="7"/>
      <c r="L88" s="7"/>
      <c r="M88" s="7"/>
      <c r="N88" s="7"/>
      <c r="O88" s="7"/>
      <c r="P88" s="7"/>
      <c r="Q88" s="7"/>
      <c r="R88" s="7"/>
      <c r="S88" s="7"/>
    </row>
    <row r="89" spans="2:19">
      <c r="B89" t="str">
        <f>BS!B62</f>
        <v>Contingent Liabilities</v>
      </c>
      <c r="D89" s="208">
        <f>BS!G62</f>
        <v>283.70588235294122</v>
      </c>
      <c r="E89" s="208">
        <f>BS!H62</f>
        <v>473.05882352941177</v>
      </c>
      <c r="F89" s="208">
        <f>BS!I62</f>
        <v>309.1764705882353</v>
      </c>
      <c r="G89" s="208">
        <f>BS!J62</f>
        <v>186.94117647058823</v>
      </c>
      <c r="H89" s="208">
        <f>BS!K62</f>
        <v>316.23529411764707</v>
      </c>
      <c r="I89" s="208">
        <f>H89</f>
        <v>316.23529411764707</v>
      </c>
      <c r="J89" s="208">
        <f t="shared" ref="J89:N89" si="87">I89</f>
        <v>316.23529411764707</v>
      </c>
      <c r="K89" s="208">
        <f t="shared" si="87"/>
        <v>316.23529411764707</v>
      </c>
      <c r="L89" s="208">
        <f t="shared" si="87"/>
        <v>316.23529411764707</v>
      </c>
      <c r="M89" s="208">
        <f t="shared" si="87"/>
        <v>316.23529411764707</v>
      </c>
      <c r="N89" s="208">
        <f t="shared" si="87"/>
        <v>316.23529411764707</v>
      </c>
      <c r="O89" s="208">
        <f t="shared" ref="O89" si="88">N89</f>
        <v>316.23529411764707</v>
      </c>
      <c r="P89" s="208">
        <f t="shared" ref="P89" si="89">O89</f>
        <v>316.23529411764707</v>
      </c>
      <c r="Q89" s="208">
        <f t="shared" ref="Q89" si="90">P89</f>
        <v>316.23529411764707</v>
      </c>
      <c r="R89" s="208">
        <f t="shared" ref="R89" si="91">Q89</f>
        <v>316.23529411764707</v>
      </c>
      <c r="S89" s="208">
        <f t="shared" ref="S89" si="92">R89</f>
        <v>316.23529411764707</v>
      </c>
    </row>
    <row r="91" spans="2:19" ht="15" thickBot="1">
      <c r="B91" s="73" t="s">
        <v>23</v>
      </c>
      <c r="C91" s="8"/>
      <c r="D91" s="304">
        <f>SUM(D89,D87,D80,D68)</f>
        <v>12450</v>
      </c>
      <c r="E91" s="304">
        <f t="shared" ref="E91:N91" si="93">SUM(E89,E87,E80,E68)</f>
        <v>14559</v>
      </c>
      <c r="F91" s="304">
        <f t="shared" si="93"/>
        <v>16140</v>
      </c>
      <c r="G91" s="304">
        <f t="shared" si="93"/>
        <v>19198</v>
      </c>
      <c r="H91" s="304">
        <f t="shared" si="93"/>
        <v>23115</v>
      </c>
      <c r="I91" s="304">
        <f t="shared" si="93"/>
        <v>28355.480734371409</v>
      </c>
      <c r="J91" s="304">
        <f t="shared" si="93"/>
        <v>31689.177512123078</v>
      </c>
      <c r="K91" s="304">
        <f t="shared" si="93"/>
        <v>35644.416995919324</v>
      </c>
      <c r="L91" s="304">
        <f t="shared" si="93"/>
        <v>39752.408227877844</v>
      </c>
      <c r="M91" s="304">
        <f t="shared" si="93"/>
        <v>43740.083616891148</v>
      </c>
      <c r="N91" s="304">
        <f t="shared" si="93"/>
        <v>47369.118516243994</v>
      </c>
      <c r="O91" s="304">
        <f t="shared" ref="O91:S91" si="94">SUM(O89,O87,O80,O68)</f>
        <v>50894.36857270365</v>
      </c>
      <c r="P91" s="304">
        <f t="shared" si="94"/>
        <v>54169.480786691245</v>
      </c>
      <c r="Q91" s="304">
        <f t="shared" si="94"/>
        <v>57143.96312343188</v>
      </c>
      <c r="R91" s="304">
        <f t="shared" si="94"/>
        <v>59794.682516598346</v>
      </c>
      <c r="S91" s="304">
        <f t="shared" si="94"/>
        <v>62018.571629619662</v>
      </c>
    </row>
    <row r="93" spans="2:19">
      <c r="B93" t="s">
        <v>69</v>
      </c>
      <c r="D93" s="117">
        <f ca="1">D62-D91</f>
        <v>-0.3999999999996362</v>
      </c>
      <c r="E93" s="117">
        <f t="shared" ref="E93:N93" ca="1" si="95">E62-E91</f>
        <v>0</v>
      </c>
      <c r="F93" s="117">
        <f t="shared" ca="1" si="95"/>
        <v>-0.1000000000003638</v>
      </c>
      <c r="G93" s="117">
        <f t="shared" ca="1" si="95"/>
        <v>0.2000000000007276</v>
      </c>
      <c r="H93" s="117">
        <f t="shared" ca="1" si="95"/>
        <v>-0.2000000000007276</v>
      </c>
      <c r="I93" s="117">
        <f t="shared" si="95"/>
        <v>0</v>
      </c>
      <c r="J93" s="117">
        <f t="shared" si="95"/>
        <v>0</v>
      </c>
      <c r="K93" s="117">
        <f t="shared" si="95"/>
        <v>0</v>
      </c>
      <c r="L93" s="117">
        <f t="shared" si="95"/>
        <v>0</v>
      </c>
      <c r="M93" s="117">
        <f t="shared" si="95"/>
        <v>0</v>
      </c>
      <c r="N93" s="117">
        <f t="shared" si="95"/>
        <v>0</v>
      </c>
      <c r="O93" s="117">
        <f t="shared" ref="O93:S93" si="96">O62-O91</f>
        <v>0</v>
      </c>
      <c r="P93" s="117">
        <f t="shared" si="96"/>
        <v>0</v>
      </c>
      <c r="Q93" s="117">
        <f t="shared" si="96"/>
        <v>0</v>
      </c>
      <c r="R93" s="117">
        <f t="shared" si="96"/>
        <v>0</v>
      </c>
      <c r="S93" s="117">
        <f t="shared" si="96"/>
        <v>0</v>
      </c>
    </row>
    <row r="94" spans="2:19">
      <c r="D94" s="117"/>
      <c r="E94" s="117"/>
      <c r="F94" s="117"/>
      <c r="G94" s="117"/>
      <c r="H94" s="117"/>
    </row>
    <row r="95" spans="2:19">
      <c r="B95" s="26" t="s">
        <v>70</v>
      </c>
      <c r="C95" s="26"/>
      <c r="D95" s="177">
        <f>D53-D80</f>
        <v>4182.9411764705883</v>
      </c>
      <c r="E95" s="177">
        <f t="shared" ref="E95:G95" si="97">E53-E80</f>
        <v>5765.9117647058829</v>
      </c>
      <c r="F95" s="177">
        <f t="shared" si="97"/>
        <v>2585.2352941176478</v>
      </c>
      <c r="G95" s="177">
        <f t="shared" si="97"/>
        <v>493.58823529411848</v>
      </c>
      <c r="H95" s="177">
        <f t="shared" ref="H95:M95" si="98">H53-H80</f>
        <v>766.14705882353064</v>
      </c>
      <c r="I95" s="177">
        <f t="shared" si="98"/>
        <v>7754.7157258208563</v>
      </c>
      <c r="J95" s="177">
        <f t="shared" si="98"/>
        <v>8882.7976678496634</v>
      </c>
      <c r="K95" s="177">
        <f t="shared" si="98"/>
        <v>8471.1368055353414</v>
      </c>
      <c r="L95" s="177">
        <f t="shared" si="98"/>
        <v>9350.6375776325513</v>
      </c>
      <c r="M95" s="177">
        <f t="shared" si="98"/>
        <v>10629.558853642915</v>
      </c>
      <c r="N95" s="177">
        <f t="shared" ref="N95:S95" si="99">N53-N80</f>
        <v>12435.702139307017</v>
      </c>
      <c r="O95" s="177">
        <f t="shared" si="99"/>
        <v>14083.352104055837</v>
      </c>
      <c r="P95" s="177">
        <f t="shared" si="99"/>
        <v>15542.688460602352</v>
      </c>
      <c r="Q95" s="177">
        <f t="shared" si="99"/>
        <v>16785.069747583781</v>
      </c>
      <c r="R95" s="177">
        <f t="shared" si="99"/>
        <v>17714.858519805894</v>
      </c>
      <c r="S95" s="177">
        <f t="shared" si="99"/>
        <v>18301.451355515681</v>
      </c>
    </row>
    <row r="96" spans="2:19">
      <c r="B96" s="26" t="s">
        <v>49</v>
      </c>
      <c r="C96" s="26"/>
      <c r="D96" s="177">
        <f t="shared" ref="D96:N96" si="100">D49/D10*365</f>
        <v>3.4689753113393049</v>
      </c>
      <c r="E96" s="177">
        <f t="shared" si="100"/>
        <v>6.6135321100917439</v>
      </c>
      <c r="F96" s="177">
        <f t="shared" si="100"/>
        <v>10.704020198096718</v>
      </c>
      <c r="G96" s="177">
        <f t="shared" si="100"/>
        <v>9.3259243872039885</v>
      </c>
      <c r="H96" s="177">
        <f t="shared" si="100"/>
        <v>8.2553217223028543</v>
      </c>
      <c r="I96" s="177">
        <f t="shared" si="100"/>
        <v>11.000000000000002</v>
      </c>
      <c r="J96" s="177">
        <f t="shared" si="100"/>
        <v>10</v>
      </c>
      <c r="K96" s="177">
        <f t="shared" si="100"/>
        <v>10</v>
      </c>
      <c r="L96" s="177">
        <f t="shared" si="100"/>
        <v>10</v>
      </c>
      <c r="M96" s="177">
        <f t="shared" si="100"/>
        <v>10</v>
      </c>
      <c r="N96" s="177">
        <f t="shared" si="100"/>
        <v>9.9999999999999982</v>
      </c>
      <c r="O96" s="177">
        <f t="shared" ref="O96:S96" si="101">O49/O10*365</f>
        <v>9.5</v>
      </c>
      <c r="P96" s="177">
        <f t="shared" si="101"/>
        <v>9.5</v>
      </c>
      <c r="Q96" s="177">
        <f t="shared" si="101"/>
        <v>9.0000000000000018</v>
      </c>
      <c r="R96" s="177">
        <f t="shared" si="101"/>
        <v>8</v>
      </c>
      <c r="S96" s="177">
        <f t="shared" si="101"/>
        <v>8</v>
      </c>
    </row>
    <row r="97" spans="1:19">
      <c r="B97" s="26" t="s">
        <v>50</v>
      </c>
      <c r="C97" s="26"/>
      <c r="D97" s="177">
        <f t="shared" ref="D97:N97" si="102">D48/D11*365*-1</f>
        <v>-41.789431545236184</v>
      </c>
      <c r="E97" s="177">
        <f t="shared" si="102"/>
        <v>-62.475547730829419</v>
      </c>
      <c r="F97" s="177">
        <f t="shared" si="102"/>
        <v>-69.372061786433846</v>
      </c>
      <c r="G97" s="177">
        <f t="shared" si="102"/>
        <v>-56.803458353628834</v>
      </c>
      <c r="H97" s="177">
        <f t="shared" si="102"/>
        <v>-57.304309096982522</v>
      </c>
      <c r="I97" s="177">
        <f t="shared" si="102"/>
        <v>-54.565000682625964</v>
      </c>
      <c r="J97" s="177">
        <f t="shared" si="102"/>
        <v>-60.000000000000007</v>
      </c>
      <c r="K97" s="177">
        <f t="shared" si="102"/>
        <v>-60</v>
      </c>
      <c r="L97" s="177">
        <f t="shared" si="102"/>
        <v>-58.75</v>
      </c>
      <c r="M97" s="177">
        <f t="shared" si="102"/>
        <v>-57.500000000000007</v>
      </c>
      <c r="N97" s="177">
        <f t="shared" si="102"/>
        <v>-55</v>
      </c>
      <c r="O97" s="177">
        <f t="shared" ref="O97:S97" si="103">O48/O11*365*-1</f>
        <v>-55</v>
      </c>
      <c r="P97" s="177">
        <f t="shared" si="103"/>
        <v>-55</v>
      </c>
      <c r="Q97" s="177">
        <f t="shared" si="103"/>
        <v>-55.000000000000007</v>
      </c>
      <c r="R97" s="177">
        <f t="shared" si="103"/>
        <v>-55</v>
      </c>
      <c r="S97" s="177">
        <f t="shared" si="103"/>
        <v>-55.000000000000007</v>
      </c>
    </row>
    <row r="98" spans="1:19">
      <c r="B98" s="26" t="s">
        <v>71</v>
      </c>
      <c r="C98" s="26"/>
      <c r="D98" s="177">
        <f t="shared" ref="D98:N98" si="104">D70/D11*365*-1</f>
        <v>-78.122638633782842</v>
      </c>
      <c r="E98" s="177">
        <f t="shared" si="104"/>
        <v>-123.64311066106151</v>
      </c>
      <c r="F98" s="177">
        <f t="shared" si="104"/>
        <v>-111.47050044553305</v>
      </c>
      <c r="G98" s="177">
        <f t="shared" si="104"/>
        <v>-75.145664403121216</v>
      </c>
      <c r="H98" s="177">
        <f t="shared" si="104"/>
        <v>-77.49862600275236</v>
      </c>
      <c r="I98" s="177">
        <f t="shared" si="104"/>
        <v>-90</v>
      </c>
      <c r="J98" s="177">
        <f t="shared" si="104"/>
        <v>-78.000000000000014</v>
      </c>
      <c r="K98" s="177">
        <f t="shared" si="104"/>
        <v>-78</v>
      </c>
      <c r="L98" s="177">
        <f t="shared" si="104"/>
        <v>-78</v>
      </c>
      <c r="M98" s="177">
        <f t="shared" si="104"/>
        <v>-78</v>
      </c>
      <c r="N98" s="177">
        <f t="shared" si="104"/>
        <v>-78</v>
      </c>
      <c r="O98" s="177">
        <f t="shared" ref="O98:S98" si="105">O70/O11*365*-1</f>
        <v>-80</v>
      </c>
      <c r="P98" s="177">
        <f t="shared" si="105"/>
        <v>-82</v>
      </c>
      <c r="Q98" s="177">
        <f t="shared" si="105"/>
        <v>-84</v>
      </c>
      <c r="R98" s="177">
        <f t="shared" si="105"/>
        <v>-86</v>
      </c>
      <c r="S98" s="177">
        <f t="shared" si="105"/>
        <v>-87.000000000000014</v>
      </c>
    </row>
    <row r="99" spans="1:19">
      <c r="D99" s="117"/>
      <c r="E99" s="117"/>
      <c r="F99" s="117"/>
      <c r="G99" s="117"/>
      <c r="H99" s="117"/>
      <c r="I99" s="117"/>
      <c r="J99" s="117"/>
      <c r="K99" s="117"/>
      <c r="L99" s="117"/>
      <c r="M99" s="117"/>
      <c r="N99" s="117"/>
      <c r="O99" s="117"/>
      <c r="P99" s="117"/>
      <c r="Q99" s="117"/>
      <c r="R99" s="117"/>
      <c r="S99" s="117"/>
    </row>
    <row r="100" spans="1:19" ht="18">
      <c r="A100" t="s">
        <v>29</v>
      </c>
      <c r="B100" s="16" t="s">
        <v>72</v>
      </c>
      <c r="C100" s="69"/>
      <c r="D100" s="175"/>
      <c r="E100" s="175"/>
      <c r="F100" s="175"/>
      <c r="G100" s="175"/>
      <c r="H100" s="175"/>
      <c r="I100" s="175"/>
      <c r="J100" s="175"/>
      <c r="K100" s="175"/>
      <c r="L100" s="175"/>
      <c r="M100" s="175"/>
      <c r="N100" s="175"/>
      <c r="O100" s="175"/>
      <c r="P100" s="175"/>
      <c r="Q100" s="175"/>
      <c r="R100" s="175"/>
      <c r="S100" s="175"/>
    </row>
    <row r="101" spans="1:19">
      <c r="D101" s="117"/>
      <c r="E101" s="117"/>
      <c r="F101" s="117"/>
      <c r="G101" s="117"/>
      <c r="H101" s="117"/>
      <c r="I101" s="117"/>
      <c r="J101" s="117"/>
      <c r="K101" s="117"/>
      <c r="L101" s="117"/>
      <c r="M101" s="117"/>
      <c r="N101" s="117"/>
      <c r="O101" s="117"/>
      <c r="P101" s="117"/>
      <c r="Q101" s="117"/>
      <c r="R101" s="117"/>
      <c r="S101" s="117"/>
    </row>
    <row r="102" spans="1:19">
      <c r="B102" t="str">
        <f>CFS_!B5</f>
        <v>Net Income</v>
      </c>
      <c r="D102" s="117">
        <f>CFS_!G5</f>
        <v>1828</v>
      </c>
      <c r="E102" s="117">
        <f>CFS_!H5</f>
        <v>1346</v>
      </c>
      <c r="F102" s="117">
        <f>CFS_!I5</f>
        <v>1677</v>
      </c>
      <c r="G102" s="117">
        <f>CFS_!J5</f>
        <v>2914</v>
      </c>
      <c r="H102" s="117">
        <f>CFS_!K5</f>
        <v>4001</v>
      </c>
      <c r="I102" s="117">
        <f t="shared" ref="I102:N102" si="106">I35</f>
        <v>4709.0954507356801</v>
      </c>
      <c r="J102" s="117">
        <f t="shared" si="106"/>
        <v>4758.0080908887603</v>
      </c>
      <c r="K102" s="117">
        <f t="shared" si="106"/>
        <v>5460.916416320616</v>
      </c>
      <c r="L102" s="117">
        <f t="shared" si="106"/>
        <v>6315.2440250264826</v>
      </c>
      <c r="M102" s="117">
        <f t="shared" si="106"/>
        <v>6820.4576744940896</v>
      </c>
      <c r="N102" s="117">
        <f t="shared" si="106"/>
        <v>7237.5606546414801</v>
      </c>
      <c r="O102" s="117">
        <f t="shared" ref="O102:S102" si="107">O35</f>
        <v>7643.2603377179039</v>
      </c>
      <c r="P102" s="117">
        <f t="shared" si="107"/>
        <v>8032.3510179432642</v>
      </c>
      <c r="Q102" s="117">
        <f t="shared" si="107"/>
        <v>8400.0284307655838</v>
      </c>
      <c r="R102" s="117">
        <f t="shared" si="107"/>
        <v>8762.9435241196006</v>
      </c>
      <c r="S102" s="117">
        <f t="shared" si="107"/>
        <v>9119.0223476413139</v>
      </c>
    </row>
    <row r="103" spans="1:19">
      <c r="B103" t="str">
        <f>CFS_!B6</f>
        <v>Add: Depre</v>
      </c>
      <c r="D103" s="117">
        <f>CFS_!G6</f>
        <v>382</v>
      </c>
      <c r="E103" s="117">
        <f>CFS_!H6</f>
        <v>451</v>
      </c>
      <c r="F103" s="117">
        <f>CFS_!I6</f>
        <v>452</v>
      </c>
      <c r="G103" s="117">
        <f>CFS_!J6</f>
        <v>526</v>
      </c>
      <c r="H103" s="117">
        <f>CFS_!K6</f>
        <v>598</v>
      </c>
      <c r="I103" s="117">
        <f t="shared" ref="I103:N103" si="108">I25</f>
        <v>712.22222222222217</v>
      </c>
      <c r="J103" s="117">
        <f t="shared" si="108"/>
        <v>851.11111111111109</v>
      </c>
      <c r="K103" s="117">
        <f t="shared" si="108"/>
        <v>964.00618883362449</v>
      </c>
      <c r="L103" s="117">
        <f t="shared" si="108"/>
        <v>1067.6040248613426</v>
      </c>
      <c r="M103" s="117">
        <f t="shared" si="108"/>
        <v>1152.7269134641178</v>
      </c>
      <c r="N103" s="117">
        <f t="shared" si="108"/>
        <v>1210.6691831544208</v>
      </c>
      <c r="O103" s="117">
        <f t="shared" ref="O103:S103" si="109">O25</f>
        <v>1266.9697552034984</v>
      </c>
      <c r="P103" s="117">
        <f t="shared" si="109"/>
        <v>1320.9671220323864</v>
      </c>
      <c r="Q103" s="117">
        <f t="shared" si="109"/>
        <v>1371.9946336856856</v>
      </c>
      <c r="R103" s="117">
        <f t="shared" si="109"/>
        <v>1422.3559528257333</v>
      </c>
      <c r="S103" s="117">
        <f t="shared" si="109"/>
        <v>1471.7692941937332</v>
      </c>
    </row>
    <row r="104" spans="1:19">
      <c r="B104" t="str">
        <f>CFS_!B7</f>
        <v xml:space="preserve">Add/Less: Deffered Tax </v>
      </c>
      <c r="D104" s="117">
        <f>CFS_!G7</f>
        <v>-411.47058823529392</v>
      </c>
      <c r="E104" s="117">
        <f>CFS_!H7</f>
        <v>-34.000000000000114</v>
      </c>
      <c r="F104" s="117">
        <f>CFS_!I7</f>
        <v>-954.0235294117648</v>
      </c>
      <c r="G104" s="117">
        <f>CFS_!J7</f>
        <v>-552.04705882352948</v>
      </c>
      <c r="H104" s="117">
        <f>CFS_!K7</f>
        <v>-329.95294117647063</v>
      </c>
      <c r="I104" s="117">
        <f t="shared" ref="I104:N104" si="110">SUM(I83:I84)-SUM(H83:H84)</f>
        <v>0</v>
      </c>
      <c r="J104" s="117">
        <f t="shared" si="110"/>
        <v>0</v>
      </c>
      <c r="K104" s="117">
        <f t="shared" si="110"/>
        <v>0</v>
      </c>
      <c r="L104" s="117">
        <f t="shared" si="110"/>
        <v>0</v>
      </c>
      <c r="M104" s="117">
        <f t="shared" si="110"/>
        <v>0</v>
      </c>
      <c r="N104" s="117">
        <f t="shared" si="110"/>
        <v>0</v>
      </c>
      <c r="O104" s="117">
        <f t="shared" ref="O104" si="111">SUM(O83:O84)-SUM(N83:N84)</f>
        <v>0</v>
      </c>
      <c r="P104" s="117">
        <f t="shared" ref="P104" si="112">SUM(P83:P84)-SUM(O83:O84)</f>
        <v>0</v>
      </c>
      <c r="Q104" s="117">
        <f t="shared" ref="Q104" si="113">SUM(Q83:Q84)-SUM(P83:P84)</f>
        <v>0</v>
      </c>
      <c r="R104" s="117">
        <f t="shared" ref="R104" si="114">SUM(R83:R84)-SUM(Q83:Q84)</f>
        <v>0</v>
      </c>
      <c r="S104" s="117">
        <f t="shared" ref="S104" si="115">SUM(S83:S84)-SUM(R83:R84)</f>
        <v>0</v>
      </c>
    </row>
    <row r="105" spans="1:19">
      <c r="B105" t="str">
        <f>CFS_!B8</f>
        <v>Add/Less: Working Capital Changes</v>
      </c>
      <c r="D105" s="117">
        <f>CFS_!G8</f>
        <v>-1107.3169934640523</v>
      </c>
      <c r="E105" s="117">
        <f>CFS_!H8</f>
        <v>-166.36405228758167</v>
      </c>
      <c r="F105" s="117">
        <f>CFS_!I8</f>
        <v>189.72679738562078</v>
      </c>
      <c r="G105" s="117">
        <f>CFS_!J8</f>
        <v>302.27973856209155</v>
      </c>
      <c r="H105" s="117">
        <f>CFS_!K8</f>
        <v>-32.216339869281001</v>
      </c>
      <c r="I105" s="117">
        <f>Schedules!I138</f>
        <v>-268.36435379857789</v>
      </c>
      <c r="J105" s="117">
        <f>Schedules!J138</f>
        <v>470.51386368438295</v>
      </c>
      <c r="K105" s="117">
        <f>Schedules!K138</f>
        <v>48.605449502465717</v>
      </c>
      <c r="L105" s="117">
        <f>Schedules!L138</f>
        <v>-11.831636620631627</v>
      </c>
      <c r="M105" s="117">
        <f>Schedules!M138</f>
        <v>-43.689907560427798</v>
      </c>
      <c r="N105" s="117">
        <f>Schedules!N138</f>
        <v>-113.69493628514641</v>
      </c>
      <c r="O105" s="117">
        <f>Schedules!O138</f>
        <v>-149.66057856339251</v>
      </c>
      <c r="P105" s="117">
        <f>Schedules!P138</f>
        <v>-114.57557489619705</v>
      </c>
      <c r="Q105" s="117">
        <f>Schedules!Q138</f>
        <v>-177.5123732837979</v>
      </c>
      <c r="R105" s="117">
        <f>Schedules!R138</f>
        <v>-247.13940627681757</v>
      </c>
      <c r="S105" s="117">
        <f>Schedules!S138</f>
        <v>-87.152844328114554</v>
      </c>
    </row>
    <row r="106" spans="1:19">
      <c r="B106" s="24" t="s">
        <v>73</v>
      </c>
      <c r="C106" s="25"/>
      <c r="D106" s="172">
        <f t="shared" ref="D106:N106" si="116">SUM(D102:D105)</f>
        <v>691.21241830065378</v>
      </c>
      <c r="E106" s="172">
        <f t="shared" si="116"/>
        <v>1596.6359477124183</v>
      </c>
      <c r="F106" s="172">
        <f t="shared" si="116"/>
        <v>1364.7032679738561</v>
      </c>
      <c r="G106" s="172">
        <f t="shared" si="116"/>
        <v>3190.2326797385622</v>
      </c>
      <c r="H106" s="172">
        <f t="shared" si="116"/>
        <v>4236.8307189542484</v>
      </c>
      <c r="I106" s="172">
        <f t="shared" si="116"/>
        <v>5152.9533191593246</v>
      </c>
      <c r="J106" s="172">
        <f t="shared" si="116"/>
        <v>6079.6330656842547</v>
      </c>
      <c r="K106" s="172">
        <f t="shared" si="116"/>
        <v>6473.5280546567064</v>
      </c>
      <c r="L106" s="172">
        <f t="shared" si="116"/>
        <v>7371.0164132671935</v>
      </c>
      <c r="M106" s="172">
        <f t="shared" si="116"/>
        <v>7929.4946803977791</v>
      </c>
      <c r="N106" s="172">
        <f t="shared" si="116"/>
        <v>8334.5349015107549</v>
      </c>
      <c r="O106" s="172">
        <f t="shared" ref="O106:S106" si="117">SUM(O102:O105)</f>
        <v>8760.5695143580087</v>
      </c>
      <c r="P106" s="172">
        <f t="shared" si="117"/>
        <v>9238.7425650794539</v>
      </c>
      <c r="Q106" s="172">
        <f t="shared" si="117"/>
        <v>9594.510691167472</v>
      </c>
      <c r="R106" s="172">
        <f t="shared" si="117"/>
        <v>9938.1600706685167</v>
      </c>
      <c r="S106" s="172">
        <f t="shared" si="117"/>
        <v>10503.638797506932</v>
      </c>
    </row>
    <row r="107" spans="1:19">
      <c r="D107" s="117"/>
      <c r="E107" s="117"/>
      <c r="F107" s="117"/>
      <c r="G107" s="117"/>
      <c r="H107" s="117"/>
      <c r="I107" s="117"/>
      <c r="J107" s="117"/>
      <c r="K107" s="117"/>
      <c r="L107" s="117"/>
      <c r="M107" s="117"/>
      <c r="N107" s="117"/>
      <c r="O107" s="117"/>
      <c r="P107" s="117"/>
      <c r="Q107" s="117"/>
      <c r="R107" s="117"/>
      <c r="S107" s="117"/>
    </row>
    <row r="108" spans="1:19">
      <c r="B108" t="str">
        <f>CFS_!B12</f>
        <v>Less: Capex</v>
      </c>
      <c r="D108" s="117">
        <f>CFS_!G12</f>
        <v>-818</v>
      </c>
      <c r="E108" s="117">
        <f>CFS_!H12</f>
        <v>-474</v>
      </c>
      <c r="F108" s="117">
        <f>CFS_!I12</f>
        <v>-356</v>
      </c>
      <c r="G108" s="117">
        <f>CFS_!J12</f>
        <v>-737</v>
      </c>
      <c r="H108" s="117">
        <f>CFS_!K12</f>
        <v>-608</v>
      </c>
      <c r="I108" s="147">
        <f>(Assumptions!L552-Assumptions!K552)*-1</f>
        <v>-1087.9904433420597</v>
      </c>
      <c r="J108" s="147">
        <f>(Assumptions!M552-Assumptions!L552)*-1</f>
        <v>-1250</v>
      </c>
      <c r="K108" s="147">
        <f>(Assumptions!N552-Assumptions!M552)*-1</f>
        <v>-1016.0556995026218</v>
      </c>
      <c r="L108" s="147">
        <f>(Assumptions!O552-Assumptions!N552)*-1</f>
        <v>-932.38052424946363</v>
      </c>
      <c r="M108" s="147">
        <f>(Assumptions!P552-Assumptions!O552)*-1</f>
        <v>-766.10599742497652</v>
      </c>
      <c r="N108" s="147">
        <f>(Assumptions!Q552-Assumptions!P552)*-1</f>
        <v>-521.48042721272577</v>
      </c>
      <c r="O108" s="147">
        <f>(Assumptions!R552-Assumptions!Q552)*-1</f>
        <v>-506.70514844169884</v>
      </c>
      <c r="P108" s="147">
        <f>(Assumptions!S552-Assumptions!R552)*-1</f>
        <v>-485.9763014599921</v>
      </c>
      <c r="Q108" s="147">
        <f>(Assumptions!T552-Assumptions!S552)*-1</f>
        <v>-459.2476048796907</v>
      </c>
      <c r="R108" s="147">
        <f>(Assumptions!U552-Assumptions!T552)*-1</f>
        <v>-453.25187226042908</v>
      </c>
      <c r="S108" s="147">
        <f>(Assumptions!V552-Assumptions!U552)*-1</f>
        <v>-444.72007231199859</v>
      </c>
    </row>
    <row r="109" spans="1:19">
      <c r="B109" t="str">
        <f>CFS_!B13</f>
        <v>Add/Less: Investment</v>
      </c>
      <c r="D109" s="117">
        <f ca="1">CFS_!G13</f>
        <v>1218</v>
      </c>
      <c r="E109" s="117">
        <f ca="1">CFS_!H13</f>
        <v>410</v>
      </c>
      <c r="F109" s="117">
        <f ca="1">CFS_!I13</f>
        <v>-4470</v>
      </c>
      <c r="G109" s="117">
        <f ca="1">CFS_!J13</f>
        <v>-4805</v>
      </c>
      <c r="H109" s="117">
        <f ca="1">CFS_!K13</f>
        <v>-1245</v>
      </c>
      <c r="I109" s="117">
        <f t="shared" ref="I109:N109" ca="1" si="118">(I57-H57)*-1</f>
        <v>2929.2724735999982</v>
      </c>
      <c r="J109" s="117">
        <f t="shared" si="118"/>
        <v>-1562.5091289599968</v>
      </c>
      <c r="K109" s="117">
        <f t="shared" si="118"/>
        <v>-2036.4702314112001</v>
      </c>
      <c r="L109" s="117">
        <f t="shared" si="118"/>
        <v>-1868.7609182361593</v>
      </c>
      <c r="M109" s="117">
        <f t="shared" si="118"/>
        <v>-1535.4985544840438</v>
      </c>
      <c r="N109" s="117">
        <f t="shared" si="118"/>
        <v>-1045.1979815694867</v>
      </c>
      <c r="O109" s="117">
        <f t="shared" ref="O109" si="119">(O57-N57)*-1</f>
        <v>-1015.5840387583485</v>
      </c>
      <c r="P109" s="117">
        <f t="shared" ref="P109" si="120">(P57-O57)*-1</f>
        <v>-974.03741899096349</v>
      </c>
      <c r="Q109" s="117">
        <f t="shared" ref="Q109" si="121">(Q57-P57)*-1</f>
        <v>-920.46536094645489</v>
      </c>
      <c r="R109" s="117">
        <f t="shared" ref="R109" si="122">(R57-Q57)*-1</f>
        <v>-908.44817428965689</v>
      </c>
      <c r="S109" s="117">
        <f t="shared" ref="S109" si="123">(S57-R57)*-1</f>
        <v>-891.34797336185511</v>
      </c>
    </row>
    <row r="110" spans="1:19">
      <c r="B110" t="str">
        <f>CFS_!B14</f>
        <v>Interest Income</v>
      </c>
      <c r="D110" s="117">
        <f>CFS_!G14</f>
        <v>127</v>
      </c>
      <c r="E110" s="117">
        <f>CFS_!H14</f>
        <v>249</v>
      </c>
      <c r="F110" s="117">
        <f>CFS_!I14</f>
        <v>125</v>
      </c>
      <c r="G110" s="117">
        <f>CFS_!J14</f>
        <v>86</v>
      </c>
      <c r="H110" s="117">
        <f>CFS_!K14</f>
        <v>133</v>
      </c>
      <c r="I110" s="117">
        <f t="shared" ref="I110:N110" si="124">I52</f>
        <v>188.708832</v>
      </c>
      <c r="J110" s="117">
        <f t="shared" si="124"/>
        <v>217.01515679999997</v>
      </c>
      <c r="K110" s="117">
        <f t="shared" si="124"/>
        <v>253.90773345599996</v>
      </c>
      <c r="L110" s="117">
        <f t="shared" si="124"/>
        <v>287.76209791679997</v>
      </c>
      <c r="M110" s="117">
        <f t="shared" si="124"/>
        <v>315.57910071542392</v>
      </c>
      <c r="N110" s="117">
        <f t="shared" si="124"/>
        <v>334.51384675834942</v>
      </c>
      <c r="O110" s="117">
        <f t="shared" ref="O110:S110" si="125">O52</f>
        <v>352.91210833005863</v>
      </c>
      <c r="P110" s="117">
        <f t="shared" si="125"/>
        <v>370.55771374656155</v>
      </c>
      <c r="Q110" s="117">
        <f t="shared" si="125"/>
        <v>387.23281086515681</v>
      </c>
      <c r="R110" s="117">
        <f t="shared" si="125"/>
        <v>403.69020532692593</v>
      </c>
      <c r="S110" s="117">
        <f t="shared" si="125"/>
        <v>419.83781354000297</v>
      </c>
    </row>
    <row r="111" spans="1:19">
      <c r="B111" t="str">
        <f>CFS_!B15</f>
        <v>Other Financing Exp/Income</v>
      </c>
      <c r="D111" s="117">
        <f>CFS_!G15</f>
        <v>-1803.3559477124186</v>
      </c>
      <c r="E111" s="117">
        <f>CFS_!H15</f>
        <v>313.01816993464035</v>
      </c>
      <c r="F111" s="117">
        <f>CFS_!I15</f>
        <v>162.88143790849699</v>
      </c>
      <c r="G111" s="117">
        <f>CFS_!J15</f>
        <v>-684.66209150326813</v>
      </c>
      <c r="H111" s="117">
        <f>CFS_!K15</f>
        <v>-4429.7689542483658</v>
      </c>
      <c r="I111" s="117">
        <f>(AVERAGE(D111:H111))+1084.62796033799</f>
        <v>-203.74951678619504</v>
      </c>
      <c r="J111" s="117">
        <f>((AVERAGE(E111:I111))+-6678.4763808994)+-216.925592067598</f>
        <v>-7863.8581639059339</v>
      </c>
      <c r="K111" s="117">
        <f>(((AVERAGE(F111:J111))+-8468.87031844186)+1075.38456569876)+43.3851184135183</f>
        <v>-9953.9320920366281</v>
      </c>
      <c r="L111" s="117">
        <f>(((((AVERAGE(G111:K111))+-8336.08157778133)+2984.23554252689)+-163.014771043529)+-8.67702368270238)+9.09494701772928E-13</f>
        <v>-10150.731993676753</v>
      </c>
      <c r="M111" s="117">
        <f>(((((AVERAGE(H111:L111))+-8747.72489958168)+5248.29896658853)+-792.464833757612)+22.1905257894605)+1.73540473653975</f>
        <v>-10788.372980355536</v>
      </c>
      <c r="N111" s="117">
        <f>(((((AVERAGE(I111:M111))+-9493.57404464576)+8047.50373982257)+-2000.61759382684)+185.121597698876)+-2.3556194740404</f>
        <v>-11056.050869777406</v>
      </c>
      <c r="O111" s="117">
        <f>(((((AVERAGE(J111:N111))+-10605.4993802877)+11772.6448887838)+-4010.24186055672)+622.269436004026)+-39.8510629086304</f>
        <v>-12223.267198915641</v>
      </c>
      <c r="P111" s="117">
        <f>((((((AVERAGE(K111:O111))+-11864.5695449576)+14955.9635848318)+-7210.20432883835)+1548.77169531617)+-172.275162691156)+8.03576469136897</f>
        <v>-13568.749018600147</v>
      </c>
      <c r="Q111" s="117">
        <f>(((((((AVERAGE(L111:P111))+-12994.0827695492)+18411.2192339615)+-11437.0380221153)+3309.24392382978)+-516.48453429262)+44.0979501678739)+-1.60715293827525</f>
        <v>-14742.085783201363</v>
      </c>
      <c r="R111" s="117">
        <f>(((((((AVERAGE(M111:Q111))+-14301.691426869)+22428.216210602)+-16777.2394106166)+6227.63276354663)+-1283.36563065364)+156.214447059978)+-10.7481735595065</f>
        <v>-16036.686390660154</v>
      </c>
      <c r="S111" s="117">
        <f>((((((((AVERAGE(N111:R111))+-16168.3165114961)+26974.9929648622)+-23410.1777747911)+10665.6761264699)+-2781.47428528311)+444.477543550007)+-44.1406976834023)+2.53535141709472</f>
        <v>-17841.795135185544</v>
      </c>
    </row>
    <row r="112" spans="1:19">
      <c r="B112" t="str">
        <f>CFS_!B16</f>
        <v>Add/Less: CWIP</v>
      </c>
      <c r="D112" s="117">
        <f>CFS_!G16</f>
        <v>245</v>
      </c>
      <c r="E112" s="117">
        <f>CFS_!H16</f>
        <v>-37</v>
      </c>
      <c r="F112" s="117">
        <f>CFS_!I16</f>
        <v>-70</v>
      </c>
      <c r="G112" s="117">
        <f>CFS_!J16</f>
        <v>56</v>
      </c>
      <c r="H112" s="117">
        <f>CFS_!K16</f>
        <v>-134</v>
      </c>
      <c r="I112" s="117">
        <f t="shared" ref="I112:N112" si="126">(I56-H56)*-1</f>
        <v>102</v>
      </c>
      <c r="J112" s="117">
        <f t="shared" si="126"/>
        <v>110</v>
      </c>
      <c r="K112" s="117">
        <f t="shared" si="126"/>
        <v>0</v>
      </c>
      <c r="L112" s="117">
        <f t="shared" si="126"/>
        <v>0</v>
      </c>
      <c r="M112" s="117">
        <f t="shared" si="126"/>
        <v>0</v>
      </c>
      <c r="N112" s="117">
        <f t="shared" si="126"/>
        <v>0</v>
      </c>
      <c r="O112" s="117">
        <f t="shared" ref="O112" si="127">(O56-N56)*-1</f>
        <v>0</v>
      </c>
      <c r="P112" s="117">
        <f t="shared" ref="P112" si="128">(P56-O56)*-1</f>
        <v>0</v>
      </c>
      <c r="Q112" s="117">
        <f t="shared" ref="Q112" si="129">(Q56-P56)*-1</f>
        <v>0</v>
      </c>
      <c r="R112" s="117">
        <f t="shared" ref="R112" si="130">(R56-Q56)*-1</f>
        <v>0</v>
      </c>
      <c r="S112" s="117">
        <f t="shared" ref="S112" si="131">(S56-R56)*-1</f>
        <v>0</v>
      </c>
    </row>
    <row r="113" spans="2:20">
      <c r="B113" s="24" t="s">
        <v>74</v>
      </c>
      <c r="C113" s="25"/>
      <c r="D113" s="172">
        <f ca="1">SUM(D108:D112)</f>
        <v>-1031.3559477124186</v>
      </c>
      <c r="E113" s="172">
        <f t="shared" ref="E113:H113" ca="1" si="132">SUM(E108:E112)</f>
        <v>461.01816993464035</v>
      </c>
      <c r="F113" s="172">
        <f t="shared" ca="1" si="132"/>
        <v>-4608.118562091503</v>
      </c>
      <c r="G113" s="172">
        <f t="shared" ca="1" si="132"/>
        <v>-6084.6620915032681</v>
      </c>
      <c r="H113" s="172">
        <f t="shared" ca="1" si="132"/>
        <v>-6283.7689542483658</v>
      </c>
      <c r="I113" s="172">
        <f t="shared" ref="I113:N113" si="133">SUM(I110:I112)</f>
        <v>86.959315213804956</v>
      </c>
      <c r="J113" s="172">
        <f t="shared" si="133"/>
        <v>-7536.8430071059338</v>
      </c>
      <c r="K113" s="172">
        <f t="shared" si="133"/>
        <v>-9700.0243585806274</v>
      </c>
      <c r="L113" s="172">
        <f t="shared" si="133"/>
        <v>-9862.9698957599521</v>
      </c>
      <c r="M113" s="172">
        <f t="shared" si="133"/>
        <v>-10472.793879640112</v>
      </c>
      <c r="N113" s="172">
        <f t="shared" si="133"/>
        <v>-10721.537023019057</v>
      </c>
      <c r="O113" s="172">
        <f t="shared" ref="O113:S113" si="134">SUM(O110:O112)</f>
        <v>-11870.355090585583</v>
      </c>
      <c r="P113" s="172">
        <f t="shared" si="134"/>
        <v>-13198.191304853586</v>
      </c>
      <c r="Q113" s="172">
        <f t="shared" si="134"/>
        <v>-14354.852972336206</v>
      </c>
      <c r="R113" s="172">
        <f t="shared" si="134"/>
        <v>-15632.996185333228</v>
      </c>
      <c r="S113" s="172">
        <f t="shared" si="134"/>
        <v>-17421.957321645543</v>
      </c>
    </row>
    <row r="114" spans="2:20">
      <c r="D114" s="117"/>
      <c r="E114" s="117"/>
      <c r="F114" s="117"/>
      <c r="G114" s="117"/>
      <c r="H114" s="117"/>
      <c r="I114" s="117"/>
      <c r="J114" s="117"/>
      <c r="K114" s="117"/>
      <c r="L114" s="117"/>
      <c r="M114" s="117"/>
      <c r="N114" s="117"/>
      <c r="O114" s="117"/>
      <c r="P114" s="117"/>
      <c r="Q114" s="117"/>
      <c r="R114" s="117"/>
      <c r="S114" s="117"/>
    </row>
    <row r="115" spans="2:20">
      <c r="B115" t="str">
        <f>CFS_!B20</f>
        <v>Borrowings</v>
      </c>
      <c r="D115" s="117">
        <f>CFS_!G20</f>
        <v>-40.176470588235134</v>
      </c>
      <c r="E115" s="117">
        <f>CFS_!H20</f>
        <v>347.7058823529411</v>
      </c>
      <c r="F115" s="117">
        <f>CFS_!I20</f>
        <v>-453.76470588235293</v>
      </c>
      <c r="G115" s="117">
        <f>CFS_!J20</f>
        <v>-109.47058823529414</v>
      </c>
      <c r="H115" s="117">
        <f>CFS_!K20</f>
        <v>-24.41176470588232</v>
      </c>
      <c r="I115" s="117">
        <f t="shared" ref="I115:N115" si="135">(I71+I82)-(H71+H82)</f>
        <v>1271.3291845647059</v>
      </c>
      <c r="J115" s="117">
        <f t="shared" si="135"/>
        <v>223.61996591999969</v>
      </c>
      <c r="K115" s="117">
        <f t="shared" si="135"/>
        <v>291.45135558239986</v>
      </c>
      <c r="L115" s="117">
        <f t="shared" si="135"/>
        <v>267.44947924031953</v>
      </c>
      <c r="M115" s="117">
        <f t="shared" si="135"/>
        <v>219.75432210912959</v>
      </c>
      <c r="N115" s="117">
        <f t="shared" si="135"/>
        <v>149.58449373911162</v>
      </c>
      <c r="O115" s="117">
        <f t="shared" ref="O115" si="136">(O71+O82)-(N71+N82)</f>
        <v>145.34626641650266</v>
      </c>
      <c r="P115" s="117">
        <f t="shared" ref="P115" si="137">(P71+P82)-(O71+O82)</f>
        <v>139.40028279037324</v>
      </c>
      <c r="Q115" s="117">
        <f t="shared" ref="Q115" si="138">(Q71+Q82)-(P71+P82)</f>
        <v>131.73326723690207</v>
      </c>
      <c r="R115" s="117">
        <f t="shared" ref="R115" si="139">(R71+R82)-(Q71+Q82)</f>
        <v>130.01341624797669</v>
      </c>
      <c r="S115" s="117">
        <f t="shared" ref="S115" si="140">(S71+S82)-(R71+R82)</f>
        <v>127.56610488330853</v>
      </c>
    </row>
    <row r="116" spans="2:20">
      <c r="B116" t="str">
        <f>CFS_!B21</f>
        <v>Dividends Paid</v>
      </c>
      <c r="D116" s="117">
        <f>CFS_!G21</f>
        <v>347.32</v>
      </c>
      <c r="E116" s="117">
        <f>CFS_!H21</f>
        <v>457.64000000000004</v>
      </c>
      <c r="F116" s="117">
        <f>CFS_!I21</f>
        <v>570.18000000000006</v>
      </c>
      <c r="G116" s="117">
        <f>CFS_!J21</f>
        <v>1019.9</v>
      </c>
      <c r="H116" s="117">
        <f>CFS_!K21</f>
        <v>1400.35</v>
      </c>
      <c r="I116" s="117">
        <f>Schedules!I82*-1</f>
        <v>1412.7286352207041</v>
      </c>
      <c r="J116" s="117">
        <f>Schedules!J82*-1</f>
        <v>1665.302831811066</v>
      </c>
      <c r="K116" s="117">
        <f>Schedules!K82*-1</f>
        <v>2184.3665665282465</v>
      </c>
      <c r="L116" s="117">
        <f>Schedules!L82*-1</f>
        <v>2841.8598112619175</v>
      </c>
      <c r="M116" s="117">
        <f>Schedules!M82*-1</f>
        <v>3410.2288372470448</v>
      </c>
      <c r="N116" s="117">
        <f>Schedules!N82*-1</f>
        <v>3980.6583600528143</v>
      </c>
      <c r="O116" s="117">
        <f>Schedules!O82*-1</f>
        <v>4585.9562026307422</v>
      </c>
      <c r="P116" s="117">
        <f>Schedules!P82*-1</f>
        <v>5221.0281616631219</v>
      </c>
      <c r="Q116" s="117">
        <f>Schedules!Q82*-1</f>
        <v>5880.0199015359085</v>
      </c>
      <c r="R116" s="117">
        <f>Schedules!R82*-1</f>
        <v>6572.2076430897005</v>
      </c>
      <c r="S116" s="117">
        <f>Schedules!S82*-1</f>
        <v>7295.2178781130515</v>
      </c>
    </row>
    <row r="117" spans="2:20">
      <c r="B117" t="str">
        <f>CFS_!B22</f>
        <v>Interest Paid</v>
      </c>
      <c r="D117" s="117">
        <f>CFS_!G22</f>
        <v>19</v>
      </c>
      <c r="E117" s="117">
        <f>CFS_!H22</f>
        <v>16</v>
      </c>
      <c r="F117" s="117">
        <f>CFS_!I22</f>
        <v>19</v>
      </c>
      <c r="G117" s="117">
        <f>CFS_!J22</f>
        <v>28</v>
      </c>
      <c r="H117" s="117">
        <f>CFS_!K22</f>
        <v>51</v>
      </c>
      <c r="I117" s="117">
        <f t="shared" ref="I117:N117" si="141">I30</f>
        <v>15.765448519717648</v>
      </c>
      <c r="J117" s="117">
        <f t="shared" si="141"/>
        <v>27.710948435039999</v>
      </c>
      <c r="K117" s="117">
        <f t="shared" si="141"/>
        <v>32.164033404484798</v>
      </c>
      <c r="L117" s="117">
        <f t="shared" si="141"/>
        <v>36.996049482762238</v>
      </c>
      <c r="M117" s="117">
        <f t="shared" si="141"/>
        <v>41.208203866580895</v>
      </c>
      <c r="N117" s="117">
        <f t="shared" si="141"/>
        <v>44.401348312458722</v>
      </c>
      <c r="O117" s="117">
        <f t="shared" ref="O117:S117" si="142">O30</f>
        <v>46.951192732538267</v>
      </c>
      <c r="P117" s="117">
        <f t="shared" si="142"/>
        <v>49.412988847833155</v>
      </c>
      <c r="Q117" s="117">
        <f t="shared" si="142"/>
        <v>51.757092830980369</v>
      </c>
      <c r="R117" s="117">
        <f t="shared" si="142"/>
        <v>54.020042005919251</v>
      </c>
      <c r="S117" s="117">
        <f t="shared" si="142"/>
        <v>56.246963688611245</v>
      </c>
    </row>
    <row r="118" spans="2:20">
      <c r="B118" s="24" t="s">
        <v>75</v>
      </c>
      <c r="C118" s="25"/>
      <c r="D118" s="172">
        <f t="shared" ref="D118:N118" si="143">SUM(D115:D117)</f>
        <v>326.14352941176486</v>
      </c>
      <c r="E118" s="172">
        <f t="shared" si="143"/>
        <v>821.34588235294109</v>
      </c>
      <c r="F118" s="172">
        <f t="shared" si="143"/>
        <v>135.41529411764714</v>
      </c>
      <c r="G118" s="172">
        <f t="shared" si="143"/>
        <v>938.42941176470583</v>
      </c>
      <c r="H118" s="172">
        <f t="shared" si="143"/>
        <v>1426.9382352941175</v>
      </c>
      <c r="I118" s="172">
        <f t="shared" si="143"/>
        <v>2699.8232683051278</v>
      </c>
      <c r="J118" s="172">
        <f t="shared" si="143"/>
        <v>1916.6337461661058</v>
      </c>
      <c r="K118" s="172">
        <f t="shared" si="143"/>
        <v>2507.9819555151312</v>
      </c>
      <c r="L118" s="172">
        <f t="shared" si="143"/>
        <v>3146.3053399849991</v>
      </c>
      <c r="M118" s="172">
        <f t="shared" si="143"/>
        <v>3671.1913632227552</v>
      </c>
      <c r="N118" s="172">
        <f t="shared" si="143"/>
        <v>4174.6442021043849</v>
      </c>
      <c r="O118" s="172">
        <f t="shared" ref="O118:S118" si="144">SUM(O115:O117)</f>
        <v>4778.2536617797832</v>
      </c>
      <c r="P118" s="172">
        <f t="shared" si="144"/>
        <v>5409.8414333013279</v>
      </c>
      <c r="Q118" s="172">
        <f t="shared" si="144"/>
        <v>6063.5102616037912</v>
      </c>
      <c r="R118" s="172">
        <f t="shared" si="144"/>
        <v>6756.2411013435958</v>
      </c>
      <c r="S118" s="172">
        <f t="shared" si="144"/>
        <v>7479.0309466849712</v>
      </c>
      <c r="T118" s="75"/>
    </row>
    <row r="119" spans="2:20">
      <c r="B119" s="22"/>
      <c r="D119" s="118"/>
      <c r="E119" s="118"/>
      <c r="F119" s="118"/>
      <c r="G119" s="118"/>
      <c r="H119" s="118"/>
      <c r="I119" s="118"/>
      <c r="J119" s="118"/>
      <c r="K119" s="118"/>
      <c r="L119" s="118"/>
      <c r="M119" s="118"/>
      <c r="N119" s="118"/>
      <c r="O119" s="118"/>
      <c r="P119" s="118"/>
      <c r="Q119" s="118"/>
      <c r="R119" s="118"/>
      <c r="S119" s="118"/>
      <c r="T119" s="46"/>
    </row>
    <row r="120" spans="2:20" ht="15" thickBot="1">
      <c r="B120" s="31" t="s">
        <v>208</v>
      </c>
      <c r="C120" s="30"/>
      <c r="D120" s="116">
        <f ca="1">SUM(D118,D113,D106)</f>
        <v>-14</v>
      </c>
      <c r="E120" s="116">
        <f ca="1">SUM(E118,E113,E106)</f>
        <v>2879</v>
      </c>
      <c r="F120" s="116">
        <f ca="1">SUM(F118,F113,F106)</f>
        <v>-3108</v>
      </c>
      <c r="G120" s="116">
        <f ca="1">SUM(G118,G113,G106)</f>
        <v>-1956</v>
      </c>
      <c r="H120" s="116">
        <f ca="1">SUM(H118,H113,H106)</f>
        <v>-620</v>
      </c>
      <c r="I120" s="116">
        <f>I122</f>
        <v>7939.7359026782578</v>
      </c>
      <c r="J120" s="116">
        <f t="shared" ref="J120:N120" si="145">J122</f>
        <v>459.42380474442689</v>
      </c>
      <c r="K120" s="116">
        <f t="shared" si="145"/>
        <v>-718.51434840878937</v>
      </c>
      <c r="L120" s="116">
        <f t="shared" si="145"/>
        <v>654.35185749224183</v>
      </c>
      <c r="M120" s="116">
        <f t="shared" si="145"/>
        <v>1127.8921639804212</v>
      </c>
      <c r="N120" s="116">
        <f t="shared" si="145"/>
        <v>1787.2949996487732</v>
      </c>
      <c r="O120" s="116">
        <f t="shared" ref="O120:S120" si="146">O122</f>
        <v>1668.522712310245</v>
      </c>
      <c r="P120" s="116">
        <f t="shared" si="146"/>
        <v>1450.3926935271957</v>
      </c>
      <c r="Q120" s="116">
        <f t="shared" si="146"/>
        <v>1303.167980435057</v>
      </c>
      <c r="R120" s="116">
        <f t="shared" si="146"/>
        <v>1061.7264172665382</v>
      </c>
      <c r="S120" s="116">
        <f t="shared" si="146"/>
        <v>560.71242254636309</v>
      </c>
      <c r="T120" s="46"/>
    </row>
    <row r="121" spans="2:20">
      <c r="D121" s="117"/>
      <c r="E121" s="117"/>
      <c r="F121" s="117"/>
      <c r="G121" s="117"/>
      <c r="H121" s="117"/>
      <c r="I121" s="117"/>
    </row>
    <row r="122" spans="2:20">
      <c r="B122" t="s">
        <v>76</v>
      </c>
      <c r="D122" s="117">
        <f>BS!G26-BS!F26</f>
        <v>-14</v>
      </c>
      <c r="E122" s="117">
        <f>BS!H26-BS!G26</f>
        <v>2879</v>
      </c>
      <c r="F122" s="117">
        <f>BS!I26-BS!H26</f>
        <v>-3108</v>
      </c>
      <c r="G122" s="117">
        <f>BS!J26-BS!I26</f>
        <v>-1956</v>
      </c>
      <c r="H122" s="117">
        <f>BS!K26-BS!J26</f>
        <v>-620</v>
      </c>
      <c r="I122" s="117">
        <f>I124-I123</f>
        <v>7939.7359026782578</v>
      </c>
      <c r="J122" s="117">
        <f t="shared" ref="J122:N122" si="147">J124-J123</f>
        <v>459.42380474442689</v>
      </c>
      <c r="K122" s="117">
        <f t="shared" si="147"/>
        <v>-718.51434840878937</v>
      </c>
      <c r="L122" s="117">
        <f t="shared" si="147"/>
        <v>654.35185749224183</v>
      </c>
      <c r="M122" s="117">
        <f t="shared" si="147"/>
        <v>1127.8921639804212</v>
      </c>
      <c r="N122" s="117">
        <f t="shared" si="147"/>
        <v>1787.2949996487732</v>
      </c>
      <c r="O122" s="117">
        <f t="shared" ref="O122:S122" si="148">O124-O123</f>
        <v>1668.522712310245</v>
      </c>
      <c r="P122" s="117">
        <f t="shared" si="148"/>
        <v>1450.3926935271957</v>
      </c>
      <c r="Q122" s="117">
        <f t="shared" si="148"/>
        <v>1303.167980435057</v>
      </c>
      <c r="R122" s="117">
        <f t="shared" si="148"/>
        <v>1061.7264172665382</v>
      </c>
      <c r="S122" s="117">
        <f t="shared" si="148"/>
        <v>560.71242254636309</v>
      </c>
    </row>
    <row r="123" spans="2:20">
      <c r="B123" t="s">
        <v>77</v>
      </c>
      <c r="D123" s="117">
        <f>BS!F26</f>
        <v>2965</v>
      </c>
      <c r="E123" s="117">
        <f>D124</f>
        <v>2951</v>
      </c>
      <c r="F123" s="117">
        <f t="shared" ref="F123:H123" si="149">E124</f>
        <v>5830</v>
      </c>
      <c r="G123" s="117">
        <f t="shared" si="149"/>
        <v>2722</v>
      </c>
      <c r="H123" s="117">
        <f t="shared" si="149"/>
        <v>766</v>
      </c>
      <c r="I123" s="117">
        <f t="shared" ref="I123:N123" si="150">H47</f>
        <v>146</v>
      </c>
      <c r="J123" s="117">
        <f t="shared" si="150"/>
        <v>8085.7359026782578</v>
      </c>
      <c r="K123" s="117">
        <f t="shared" si="150"/>
        <v>8545.1597074226847</v>
      </c>
      <c r="L123" s="117">
        <f t="shared" si="150"/>
        <v>7826.6453590138954</v>
      </c>
      <c r="M123" s="117">
        <f t="shared" si="150"/>
        <v>8480.9972165061372</v>
      </c>
      <c r="N123" s="117">
        <f t="shared" si="150"/>
        <v>9608.8893804865584</v>
      </c>
      <c r="O123" s="117">
        <f t="shared" ref="O123" si="151">N47</f>
        <v>11396.184380135332</v>
      </c>
      <c r="P123" s="117">
        <f t="shared" ref="P123" si="152">O47</f>
        <v>13064.707092445577</v>
      </c>
      <c r="Q123" s="117">
        <f t="shared" ref="Q123" si="153">P47</f>
        <v>14515.099785972772</v>
      </c>
      <c r="R123" s="117">
        <f t="shared" ref="R123" si="154">Q47</f>
        <v>15818.267766407829</v>
      </c>
      <c r="S123" s="117">
        <f t="shared" ref="S123" si="155">R47</f>
        <v>16879.994183674367</v>
      </c>
    </row>
    <row r="124" spans="2:20" ht="15" thickBot="1">
      <c r="B124" s="31" t="s">
        <v>78</v>
      </c>
      <c r="C124" s="31"/>
      <c r="D124" s="116">
        <f>SUM(D122:D123)</f>
        <v>2951</v>
      </c>
      <c r="E124" s="116">
        <f t="shared" ref="E124:H124" si="156">SUM(E122:E123)</f>
        <v>5830</v>
      </c>
      <c r="F124" s="116">
        <f t="shared" si="156"/>
        <v>2722</v>
      </c>
      <c r="G124" s="116">
        <f t="shared" si="156"/>
        <v>766</v>
      </c>
      <c r="H124" s="116">
        <f t="shared" si="156"/>
        <v>146</v>
      </c>
      <c r="I124" s="116">
        <f t="shared" ref="I124:N124" si="157">I151</f>
        <v>8085.7359026782578</v>
      </c>
      <c r="J124" s="116">
        <f t="shared" si="157"/>
        <v>8545.1597074226847</v>
      </c>
      <c r="K124" s="116">
        <f t="shared" si="157"/>
        <v>7826.6453590138954</v>
      </c>
      <c r="L124" s="116">
        <f t="shared" si="157"/>
        <v>8480.9972165061372</v>
      </c>
      <c r="M124" s="116">
        <f t="shared" si="157"/>
        <v>9608.8893804865584</v>
      </c>
      <c r="N124" s="116">
        <f t="shared" si="157"/>
        <v>11396.184380135332</v>
      </c>
      <c r="O124" s="116">
        <f t="shared" ref="O124:S124" si="158">O151</f>
        <v>13064.707092445577</v>
      </c>
      <c r="P124" s="116">
        <f t="shared" si="158"/>
        <v>14515.099785972772</v>
      </c>
      <c r="Q124" s="116">
        <f t="shared" si="158"/>
        <v>15818.267766407829</v>
      </c>
      <c r="R124" s="116">
        <f t="shared" si="158"/>
        <v>16879.994183674367</v>
      </c>
      <c r="S124" s="116">
        <f t="shared" si="158"/>
        <v>17440.70660622073</v>
      </c>
    </row>
    <row r="141" spans="8:8">
      <c r="H141" s="283" t="s">
        <v>653</v>
      </c>
    </row>
    <row r="150" spans="9:19" hidden="1">
      <c r="I150" s="282">
        <f t="shared" ref="I150:N150" si="159">SUM(I60,I48:I52)</f>
        <v>20269.744831693151</v>
      </c>
      <c r="J150" s="282">
        <f t="shared" si="159"/>
        <v>23144.017804700394</v>
      </c>
      <c r="K150" s="282">
        <f t="shared" si="159"/>
        <v>27817.771636905429</v>
      </c>
      <c r="L150" s="282">
        <f t="shared" si="159"/>
        <v>31271.411011371707</v>
      </c>
      <c r="M150" s="282">
        <f t="shared" si="159"/>
        <v>34131.19423640459</v>
      </c>
      <c r="N150" s="282">
        <f t="shared" si="159"/>
        <v>35972.934136108663</v>
      </c>
      <c r="O150" s="282">
        <f t="shared" ref="O150:S150" si="160">SUM(O60,O48:O52)</f>
        <v>37829.661480258073</v>
      </c>
      <c r="P150" s="282">
        <f t="shared" si="160"/>
        <v>39654.381000718473</v>
      </c>
      <c r="Q150" s="282">
        <f t="shared" si="160"/>
        <v>41325.695357024051</v>
      </c>
      <c r="R150" s="282">
        <f t="shared" si="160"/>
        <v>42914.688332923979</v>
      </c>
      <c r="S150" s="282">
        <f t="shared" si="160"/>
        <v>44577.865023398932</v>
      </c>
    </row>
    <row r="151" spans="9:19" hidden="1">
      <c r="I151" s="282">
        <f t="shared" ref="I151:N151" si="161">I91-I150</f>
        <v>8085.7359026782578</v>
      </c>
      <c r="J151" s="282">
        <f t="shared" si="161"/>
        <v>8545.1597074226847</v>
      </c>
      <c r="K151" s="282">
        <f t="shared" si="161"/>
        <v>7826.6453590138954</v>
      </c>
      <c r="L151" s="282">
        <f t="shared" si="161"/>
        <v>8480.9972165061372</v>
      </c>
      <c r="M151" s="282">
        <f t="shared" si="161"/>
        <v>9608.8893804865584</v>
      </c>
      <c r="N151" s="282">
        <f t="shared" si="161"/>
        <v>11396.184380135332</v>
      </c>
      <c r="O151" s="282">
        <f t="shared" ref="O151:S151" si="162">O91-O150</f>
        <v>13064.707092445577</v>
      </c>
      <c r="P151" s="282">
        <f t="shared" si="162"/>
        <v>14515.099785972772</v>
      </c>
      <c r="Q151" s="282">
        <f t="shared" si="162"/>
        <v>15818.267766407829</v>
      </c>
      <c r="R151" s="282">
        <f t="shared" si="162"/>
        <v>16879.994183674367</v>
      </c>
      <c r="S151" s="282">
        <f t="shared" si="162"/>
        <v>17440.70660622073</v>
      </c>
    </row>
    <row r="152" spans="9:19" hidden="1">
      <c r="I152" s="282">
        <v>1415.1929501309714</v>
      </c>
      <c r="J152" s="282">
        <v>-4433.8867222742301</v>
      </c>
      <c r="K152" s="282">
        <v>-11403.399548672678</v>
      </c>
      <c r="L152" s="282">
        <v>-17235.563585705691</v>
      </c>
      <c r="M152" s="282">
        <v>-22122.797350799483</v>
      </c>
      <c r="N152" s="282">
        <v>-27303.685526084097</v>
      </c>
      <c r="O152" s="282">
        <v>-27303.685526084097</v>
      </c>
      <c r="P152" s="282">
        <v>-27303.685526084097</v>
      </c>
      <c r="Q152" s="282">
        <v>-27303.685526084097</v>
      </c>
      <c r="R152" s="282">
        <v>-27303.685526084097</v>
      </c>
      <c r="S152" s="282">
        <v>-27303.685526084097</v>
      </c>
    </row>
  </sheetData>
  <sheetProtection algorithmName="SHA-512" hashValue="oEpBeyWNlsgco1HEUKWeGRN2WfpKMW2snZS6+nSMbPXkRUb8QRRjgrIGfR5+N8NFmSx3RcCA87w59GZ+yD5GUQ==" saltValue="WGzYVttirJXhtcpKbto+0w==" spinCount="100000" sheet="1" objects="1" scenarios="1"/>
  <mergeCells count="4">
    <mergeCell ref="D5:H5"/>
    <mergeCell ref="I5:N5"/>
    <mergeCell ref="O5:S5"/>
    <mergeCell ref="U4:V4"/>
  </mergeCells>
  <pageMargins left="0.7" right="0.7" top="0.75" bottom="0.75" header="0.3" footer="0.3"/>
  <pageSetup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93A67-7DD1-4455-B7E8-15B5701D8F65}">
  <dimension ref="A2:V112"/>
  <sheetViews>
    <sheetView showGridLines="0" zoomScaleNormal="100" workbookViewId="0">
      <pane xSplit="3" ySplit="6" topLeftCell="D7" activePane="bottomRight" state="frozen"/>
      <selection pane="topRight" activeCell="D1" sqref="D1"/>
      <selection pane="bottomLeft" activeCell="A7" sqref="A7"/>
      <selection pane="bottomRight" activeCell="B2" sqref="B2"/>
    </sheetView>
  </sheetViews>
  <sheetFormatPr defaultRowHeight="14.4"/>
  <cols>
    <col min="1" max="1" width="2.5546875" customWidth="1"/>
    <col min="2" max="2" width="40.5546875" customWidth="1"/>
    <col min="3" max="3" width="8.6640625" customWidth="1"/>
    <col min="4" max="19" width="11.88671875" customWidth="1"/>
    <col min="20" max="20" width="4.44140625" customWidth="1"/>
    <col min="21" max="21" width="13.88671875" bestFit="1" customWidth="1"/>
    <col min="22" max="22" width="11" customWidth="1"/>
  </cols>
  <sheetData>
    <row r="2" spans="1:22" ht="21">
      <c r="B2" s="10" t="str">
        <f>'Input Sheet'!C4</f>
        <v>Eicher Motors Ltd.</v>
      </c>
    </row>
    <row r="3" spans="1:22" ht="18">
      <c r="B3" s="15" t="s">
        <v>85</v>
      </c>
    </row>
    <row r="4" spans="1:22">
      <c r="U4" s="64" t="s">
        <v>58</v>
      </c>
      <c r="V4" s="65"/>
    </row>
    <row r="5" spans="1:22" ht="15.6">
      <c r="D5" s="428" t="s">
        <v>27</v>
      </c>
      <c r="E5" s="428"/>
      <c r="F5" s="428"/>
      <c r="G5" s="428"/>
      <c r="H5" s="428"/>
      <c r="I5" s="424" t="s">
        <v>28</v>
      </c>
      <c r="J5" s="424"/>
      <c r="K5" s="424"/>
      <c r="L5" s="424"/>
      <c r="M5" s="424"/>
      <c r="N5" s="424"/>
      <c r="O5" s="426" t="s">
        <v>983</v>
      </c>
      <c r="P5" s="426"/>
      <c r="Q5" s="426"/>
      <c r="R5" s="426"/>
      <c r="S5" s="426"/>
      <c r="U5" s="63" t="s">
        <v>59</v>
      </c>
      <c r="V5" s="63" t="s">
        <v>60</v>
      </c>
    </row>
    <row r="6" spans="1:22">
      <c r="B6" s="12" t="s">
        <v>26</v>
      </c>
      <c r="C6" s="11"/>
      <c r="D6" s="52">
        <f>'Control Sheet'!C7</f>
        <v>2020</v>
      </c>
      <c r="E6" s="52">
        <f>'Control Sheet'!D7</f>
        <v>2021</v>
      </c>
      <c r="F6" s="52">
        <f>'Control Sheet'!E7</f>
        <v>2022</v>
      </c>
      <c r="G6" s="52">
        <f>'Control Sheet'!F7</f>
        <v>2023</v>
      </c>
      <c r="H6" s="52">
        <f>'Control Sheet'!G7</f>
        <v>2024</v>
      </c>
      <c r="I6" s="13">
        <f t="shared" ref="I6:N6" si="0">H6+1</f>
        <v>2025</v>
      </c>
      <c r="J6" s="13">
        <f t="shared" si="0"/>
        <v>2026</v>
      </c>
      <c r="K6" s="13">
        <f t="shared" si="0"/>
        <v>2027</v>
      </c>
      <c r="L6" s="13">
        <f t="shared" si="0"/>
        <v>2028</v>
      </c>
      <c r="M6" s="13">
        <f t="shared" si="0"/>
        <v>2029</v>
      </c>
      <c r="N6" s="13">
        <f t="shared" si="0"/>
        <v>2030</v>
      </c>
      <c r="O6" s="13">
        <f t="shared" ref="O6" si="1">N6+1</f>
        <v>2031</v>
      </c>
      <c r="P6" s="13">
        <f t="shared" ref="P6" si="2">O6+1</f>
        <v>2032</v>
      </c>
      <c r="Q6" s="13">
        <f t="shared" ref="Q6" si="3">P6+1</f>
        <v>2033</v>
      </c>
      <c r="R6" s="13">
        <f t="shared" ref="R6" si="4">Q6+1</f>
        <v>2034</v>
      </c>
      <c r="S6" s="13">
        <f t="shared" ref="S6" si="5">R6+1</f>
        <v>2035</v>
      </c>
    </row>
    <row r="7" spans="1:22">
      <c r="B7" s="66"/>
      <c r="D7" s="67"/>
      <c r="E7" s="67"/>
      <c r="F7" s="67"/>
      <c r="G7" s="68"/>
      <c r="H7" s="68"/>
      <c r="I7" s="68"/>
      <c r="J7" s="68"/>
      <c r="K7" s="68"/>
      <c r="L7" s="68"/>
      <c r="M7" s="68"/>
      <c r="N7" s="68"/>
      <c r="O7" s="68"/>
      <c r="P7" s="68"/>
      <c r="Q7" s="68"/>
      <c r="R7" s="68"/>
      <c r="S7" s="68"/>
    </row>
    <row r="8" spans="1:22" ht="15.9" customHeight="1">
      <c r="A8" t="s">
        <v>29</v>
      </c>
      <c r="B8" s="16" t="s">
        <v>67</v>
      </c>
      <c r="C8" s="69"/>
      <c r="D8" s="70"/>
      <c r="E8" s="70"/>
      <c r="F8" s="70"/>
      <c r="G8" s="70"/>
      <c r="H8" s="70"/>
      <c r="I8" s="70"/>
      <c r="J8" s="70"/>
      <c r="K8" s="70"/>
      <c r="L8" s="70"/>
      <c r="M8" s="70"/>
      <c r="N8" s="70"/>
      <c r="O8" s="70"/>
      <c r="P8" s="70"/>
      <c r="Q8" s="70"/>
      <c r="R8" s="70"/>
      <c r="S8" s="70"/>
    </row>
    <row r="10" spans="1:22">
      <c r="B10" s="53" t="s">
        <v>0</v>
      </c>
      <c r="D10" s="77">
        <f>'3 Statement Model'!D10/'3 Statement Model'!D$10</f>
        <v>1</v>
      </c>
      <c r="E10" s="77">
        <f>'3 Statement Model'!E10/'3 Statement Model'!E$10</f>
        <v>1</v>
      </c>
      <c r="F10" s="77">
        <f>'3 Statement Model'!F10/'3 Statement Model'!F$10</f>
        <v>1</v>
      </c>
      <c r="G10" s="77">
        <f>'3 Statement Model'!G10/'3 Statement Model'!G$10</f>
        <v>1</v>
      </c>
      <c r="H10" s="77">
        <f>'3 Statement Model'!H10/'3 Statement Model'!H$10</f>
        <v>1</v>
      </c>
      <c r="I10" s="77">
        <f>'3 Statement Model'!I10/'3 Statement Model'!I$10</f>
        <v>1</v>
      </c>
      <c r="J10" s="77">
        <f>'3 Statement Model'!J10/'3 Statement Model'!J$10</f>
        <v>1</v>
      </c>
      <c r="K10" s="77">
        <f>'3 Statement Model'!K10/'3 Statement Model'!K$10</f>
        <v>1</v>
      </c>
      <c r="L10" s="77">
        <f>'3 Statement Model'!L10/'3 Statement Model'!L$10</f>
        <v>1</v>
      </c>
      <c r="M10" s="77">
        <f>'3 Statement Model'!M10/'3 Statement Model'!M$10</f>
        <v>1</v>
      </c>
      <c r="N10" s="77">
        <f>'3 Statement Model'!N10/'3 Statement Model'!N$10</f>
        <v>1</v>
      </c>
      <c r="O10" s="77">
        <f>'3 Statement Model'!O10/'3 Statement Model'!O$10</f>
        <v>1</v>
      </c>
      <c r="P10" s="77">
        <f>'3 Statement Model'!P10/'3 Statement Model'!P$10</f>
        <v>1</v>
      </c>
      <c r="Q10" s="77">
        <f>'3 Statement Model'!Q10/'3 Statement Model'!Q$10</f>
        <v>1</v>
      </c>
      <c r="R10" s="77">
        <f>'3 Statement Model'!R10/'3 Statement Model'!R$10</f>
        <v>1</v>
      </c>
      <c r="S10" s="77">
        <f>'3 Statement Model'!S10/'3 Statement Model'!S$10</f>
        <v>1</v>
      </c>
      <c r="U10" s="32">
        <f>_xlfn.RRI($N$6-$I$6,I10,N10)</f>
        <v>0</v>
      </c>
      <c r="V10" s="32">
        <f>_xlfn.RRI($N$6-$K$6,K10,N10)</f>
        <v>0</v>
      </c>
    </row>
    <row r="11" spans="1:22">
      <c r="B11" s="56" t="s">
        <v>1</v>
      </c>
      <c r="D11" s="77">
        <f>'3 Statement Model'!D11/'3 Statement Model'!D$10</f>
        <v>0.54577233996067298</v>
      </c>
      <c r="E11" s="77">
        <f>'3 Statement Model'!E11/'3 Statement Model'!E$10</f>
        <v>0.58623853211009169</v>
      </c>
      <c r="F11" s="77">
        <f>'3 Statement Model'!F11/'3 Statement Model'!F$10</f>
        <v>0.57836473101573116</v>
      </c>
      <c r="G11" s="77">
        <f>'3 Statement Model'!G11/'3 Statement Model'!G$10</f>
        <v>0.56861930480542866</v>
      </c>
      <c r="H11" s="77">
        <f>'3 Statement Model'!H11/'3 Statement Model'!H$10</f>
        <v>0.54311804547653608</v>
      </c>
      <c r="I11" s="77">
        <f>'3 Statement Model'!I11/'3 Statement Model'!I$10</f>
        <v>0.5544</v>
      </c>
      <c r="J11" s="77">
        <f>'3 Statement Model'!J11/'3 Statement Model'!J$10</f>
        <v>0.56000000000000005</v>
      </c>
      <c r="K11" s="77">
        <f>'3 Statement Model'!K11/'3 Statement Model'!K$10</f>
        <v>0.55000000000000004</v>
      </c>
      <c r="L11" s="77">
        <f>'3 Statement Model'!L11/'3 Statement Model'!L$10</f>
        <v>0.54499999999999993</v>
      </c>
      <c r="M11" s="77">
        <f>'3 Statement Model'!M11/'3 Statement Model'!M$10</f>
        <v>0.55000000000000004</v>
      </c>
      <c r="N11" s="77">
        <f>'3 Statement Model'!N11/'3 Statement Model'!N$10</f>
        <v>0.55000000000000004</v>
      </c>
      <c r="O11" s="77">
        <f>'3 Statement Model'!O11/'3 Statement Model'!O$10</f>
        <v>0.55000000000000004</v>
      </c>
      <c r="P11" s="77">
        <f>'3 Statement Model'!P11/'3 Statement Model'!P$10</f>
        <v>0.55000000000000004</v>
      </c>
      <c r="Q11" s="77">
        <f>'3 Statement Model'!Q11/'3 Statement Model'!Q$10</f>
        <v>0.55000000000000004</v>
      </c>
      <c r="R11" s="77">
        <f>'3 Statement Model'!R11/'3 Statement Model'!R$10</f>
        <v>0.55000000000000004</v>
      </c>
      <c r="S11" s="77">
        <f>'3 Statement Model'!S11/'3 Statement Model'!S$10</f>
        <v>0.55000000000000004</v>
      </c>
      <c r="U11" s="32">
        <f>_xlfn.RRI($N$6-$I$6,I11,N11)</f>
        <v>-1.5923647695660348E-3</v>
      </c>
      <c r="V11" s="32">
        <f>_xlfn.RRI($N$6-$K$6,K11,N11)</f>
        <v>0</v>
      </c>
    </row>
    <row r="12" spans="1:22">
      <c r="B12" s="61" t="s">
        <v>2</v>
      </c>
      <c r="C12" s="25"/>
      <c r="D12" s="306">
        <f>'3 Statement Model'!D12/'3 Statement Model'!D$10</f>
        <v>0.45422766003932707</v>
      </c>
      <c r="E12" s="306">
        <f>'3 Statement Model'!E12/'3 Statement Model'!E$10</f>
        <v>0.41376146788990825</v>
      </c>
      <c r="F12" s="306">
        <f>'3 Statement Model'!F12/'3 Statement Model'!F$10</f>
        <v>0.42163526898426879</v>
      </c>
      <c r="G12" s="306">
        <f>'3 Statement Model'!G12/'3 Statement Model'!G$10</f>
        <v>0.4313806951945714</v>
      </c>
      <c r="H12" s="306">
        <f>'3 Statement Model'!H12/'3 Statement Model'!H$10</f>
        <v>0.45688195452346397</v>
      </c>
      <c r="I12" s="80">
        <f>'3 Statement Model'!I12/'3 Statement Model'!I$10</f>
        <v>0.44560000000000005</v>
      </c>
      <c r="J12" s="80">
        <f>'3 Statement Model'!J12/'3 Statement Model'!J$10</f>
        <v>0.43999999999999995</v>
      </c>
      <c r="K12" s="80">
        <f>'3 Statement Model'!K12/'3 Statement Model'!K$10</f>
        <v>0.44999999999999996</v>
      </c>
      <c r="L12" s="80">
        <f>'3 Statement Model'!L12/'3 Statement Model'!L$10</f>
        <v>0.45500000000000007</v>
      </c>
      <c r="M12" s="80">
        <f>'3 Statement Model'!M12/'3 Statement Model'!M$10</f>
        <v>0.44999999999999996</v>
      </c>
      <c r="N12" s="80">
        <f>'3 Statement Model'!N12/'3 Statement Model'!N$10</f>
        <v>0.4499999999999999</v>
      </c>
      <c r="O12" s="80">
        <f>'3 Statement Model'!O12/'3 Statement Model'!O$10</f>
        <v>0.44999999999999996</v>
      </c>
      <c r="P12" s="80">
        <f>'3 Statement Model'!P12/'3 Statement Model'!P$10</f>
        <v>0.44999999999999996</v>
      </c>
      <c r="Q12" s="80">
        <f>'3 Statement Model'!Q12/'3 Statement Model'!Q$10</f>
        <v>0.44999999999999996</v>
      </c>
      <c r="R12" s="80">
        <f>'3 Statement Model'!R12/'3 Statement Model'!R$10</f>
        <v>0.45</v>
      </c>
      <c r="S12" s="80">
        <f>'3 Statement Model'!S12/'3 Statement Model'!S$10</f>
        <v>0.44999999999999996</v>
      </c>
    </row>
    <row r="13" spans="1:22">
      <c r="B13" s="1"/>
      <c r="D13" s="118"/>
      <c r="E13" s="118"/>
      <c r="F13" s="118"/>
      <c r="G13" s="118"/>
      <c r="H13" s="118"/>
      <c r="I13" s="118"/>
      <c r="J13" s="118"/>
      <c r="K13" s="118"/>
      <c r="L13" s="118"/>
      <c r="M13" s="118"/>
      <c r="N13" s="118"/>
      <c r="O13" s="118"/>
      <c r="P13" s="118"/>
      <c r="Q13" s="118"/>
      <c r="R13" s="118"/>
      <c r="S13" s="118"/>
    </row>
    <row r="14" spans="1:22">
      <c r="B14" s="184" t="s">
        <v>99</v>
      </c>
      <c r="C14" s="185"/>
      <c r="D14" s="186">
        <f>D12/D10</f>
        <v>0.45422766003932707</v>
      </c>
      <c r="E14" s="186">
        <f t="shared" ref="E14:N14" si="6">E12/E10</f>
        <v>0.41376146788990825</v>
      </c>
      <c r="F14" s="186">
        <f t="shared" si="6"/>
        <v>0.42163526898426879</v>
      </c>
      <c r="G14" s="186">
        <f t="shared" si="6"/>
        <v>0.4313806951945714</v>
      </c>
      <c r="H14" s="186">
        <f t="shared" si="6"/>
        <v>0.45688195452346397</v>
      </c>
      <c r="I14" s="186">
        <f t="shared" si="6"/>
        <v>0.44560000000000005</v>
      </c>
      <c r="J14" s="186">
        <f t="shared" si="6"/>
        <v>0.43999999999999995</v>
      </c>
      <c r="K14" s="186">
        <f t="shared" si="6"/>
        <v>0.44999999999999996</v>
      </c>
      <c r="L14" s="186">
        <f t="shared" si="6"/>
        <v>0.45500000000000007</v>
      </c>
      <c r="M14" s="186">
        <f t="shared" si="6"/>
        <v>0.44999999999999996</v>
      </c>
      <c r="N14" s="186">
        <f t="shared" si="6"/>
        <v>0.4499999999999999</v>
      </c>
      <c r="O14" s="186">
        <f t="shared" ref="O14:S14" si="7">O12/O10</f>
        <v>0.44999999999999996</v>
      </c>
      <c r="P14" s="186">
        <f t="shared" si="7"/>
        <v>0.44999999999999996</v>
      </c>
      <c r="Q14" s="186">
        <f t="shared" si="7"/>
        <v>0.44999999999999996</v>
      </c>
      <c r="R14" s="186">
        <f t="shared" si="7"/>
        <v>0.45</v>
      </c>
      <c r="S14" s="186">
        <f t="shared" si="7"/>
        <v>0.44999999999999996</v>
      </c>
    </row>
    <row r="15" spans="1:22">
      <c r="B15" s="54"/>
      <c r="D15" s="117"/>
      <c r="E15" s="117"/>
      <c r="F15" s="117"/>
      <c r="G15" s="117"/>
      <c r="H15" s="117"/>
      <c r="I15" s="117"/>
      <c r="J15" s="117"/>
      <c r="K15" s="117"/>
      <c r="L15" s="117"/>
      <c r="M15" s="117"/>
      <c r="N15" s="170"/>
      <c r="O15" s="170"/>
      <c r="P15" s="170"/>
      <c r="Q15" s="170"/>
      <c r="R15" s="170"/>
      <c r="S15" s="170"/>
    </row>
    <row r="16" spans="1:22">
      <c r="B16" s="55" t="s">
        <v>55</v>
      </c>
      <c r="D16" s="117"/>
      <c r="E16" s="117"/>
      <c r="F16" s="117"/>
      <c r="G16" s="117"/>
      <c r="H16" s="117"/>
      <c r="I16" s="117"/>
      <c r="J16" s="117"/>
      <c r="K16" s="117"/>
      <c r="L16" s="117"/>
      <c r="M16" s="117"/>
      <c r="N16" s="117"/>
      <c r="O16" s="117"/>
      <c r="P16" s="117"/>
      <c r="Q16" s="117"/>
      <c r="R16" s="117"/>
      <c r="S16" s="117"/>
    </row>
    <row r="17" spans="2:22">
      <c r="B17" s="56" t="str">
        <f>Schedules!B24</f>
        <v>Employee Cost</v>
      </c>
      <c r="D17" s="77">
        <f>'3 Statement Model'!D17/'3 Statement Model'!D$10</f>
        <v>8.6956521739130432E-2</v>
      </c>
      <c r="E17" s="77">
        <f>'3 Statement Model'!E17/'3 Statement Model'!E$10</f>
        <v>9.66743119266055E-2</v>
      </c>
      <c r="F17" s="77">
        <f>'3 Statement Model'!F17/'3 Statement Model'!F$10</f>
        <v>7.9724218294814533E-2</v>
      </c>
      <c r="G17" s="77">
        <f>'3 Statement Model'!G17/'3 Statement Model'!G$10</f>
        <v>6.9380972164520147E-2</v>
      </c>
      <c r="H17" s="77">
        <f>'3 Statement Model'!H17/'3 Statement Model'!H$10</f>
        <v>7.474600870827286E-2</v>
      </c>
      <c r="I17" s="77">
        <f>'3 Statement Model'!I17/'3 Statement Model'!I$10</f>
        <v>7.1999999999999995E-2</v>
      </c>
      <c r="J17" s="77">
        <f>'3 Statement Model'!J17/'3 Statement Model'!J$10</f>
        <v>7.1999999999999995E-2</v>
      </c>
      <c r="K17" s="77">
        <f>'3 Statement Model'!K17/'3 Statement Model'!K$10</f>
        <v>7.1999999999999995E-2</v>
      </c>
      <c r="L17" s="77">
        <f>'3 Statement Model'!L17/'3 Statement Model'!L$10</f>
        <v>7.1999999999999995E-2</v>
      </c>
      <c r="M17" s="77">
        <f>'3 Statement Model'!M17/'3 Statement Model'!M$10</f>
        <v>7.1999999999999995E-2</v>
      </c>
      <c r="N17" s="77">
        <f>'3 Statement Model'!N17/'3 Statement Model'!N$10</f>
        <v>7.1999999999999995E-2</v>
      </c>
      <c r="O17" s="77">
        <f>'3 Statement Model'!O17/'3 Statement Model'!O$10</f>
        <v>7.1999999999999995E-2</v>
      </c>
      <c r="P17" s="77">
        <f>'3 Statement Model'!P17/'3 Statement Model'!P$10</f>
        <v>7.1999999999999995E-2</v>
      </c>
      <c r="Q17" s="77">
        <f>'3 Statement Model'!Q17/'3 Statement Model'!Q$10</f>
        <v>7.1999999999999995E-2</v>
      </c>
      <c r="R17" s="77">
        <f>'3 Statement Model'!R17/'3 Statement Model'!R$10</f>
        <v>7.1999999999999995E-2</v>
      </c>
      <c r="S17" s="77">
        <f>'3 Statement Model'!S17/'3 Statement Model'!S$10</f>
        <v>7.1999999999999995E-2</v>
      </c>
      <c r="U17" s="32">
        <f t="shared" ref="U17:U21" si="8">_xlfn.RRI($N$6-$I$6,I17,N17)</f>
        <v>0</v>
      </c>
      <c r="V17" s="32">
        <f t="shared" ref="V17:V21" si="9">_xlfn.RRI($N$6-$K$6,K17,N17)</f>
        <v>0</v>
      </c>
    </row>
    <row r="18" spans="2:22">
      <c r="B18" s="56" t="str">
        <f>Schedules!B28</f>
        <v>Selling &amp; Distribution Cost</v>
      </c>
      <c r="D18" s="77">
        <f>'3 Statement Model'!D18/'3 Statement Model'!D$10</f>
        <v>5.1015949311776269E-2</v>
      </c>
      <c r="E18" s="77">
        <f>'3 Statement Model'!E18/'3 Statement Model'!E$10</f>
        <v>4.3004587155963302E-2</v>
      </c>
      <c r="F18" s="77">
        <f>'3 Statement Model'!F18/'3 Statement Model'!F$10</f>
        <v>5.9720334045445717E-2</v>
      </c>
      <c r="G18" s="77">
        <f>'3 Statement Model'!G18/'3 Statement Model'!G$10</f>
        <v>5.1308683007893645E-2</v>
      </c>
      <c r="H18" s="77">
        <f>'3 Statement Model'!H18/'3 Statement Model'!H$10</f>
        <v>5.2431059506531208E-2</v>
      </c>
      <c r="I18" s="77">
        <f>'3 Statement Model'!I18/'3 Statement Model'!I$10</f>
        <v>4.3999999999999997E-2</v>
      </c>
      <c r="J18" s="77">
        <f>'3 Statement Model'!J18/'3 Statement Model'!J$10</f>
        <v>4.3999999999999997E-2</v>
      </c>
      <c r="K18" s="77">
        <f>'3 Statement Model'!K18/'3 Statement Model'!K$10</f>
        <v>4.4000000000000004E-2</v>
      </c>
      <c r="L18" s="77">
        <f>'3 Statement Model'!L18/'3 Statement Model'!L$10</f>
        <v>4.3999999999999997E-2</v>
      </c>
      <c r="M18" s="77">
        <f>'3 Statement Model'!M18/'3 Statement Model'!M$10</f>
        <v>4.3999999999999997E-2</v>
      </c>
      <c r="N18" s="77">
        <f>'3 Statement Model'!N18/'3 Statement Model'!N$10</f>
        <v>4.3999999999999997E-2</v>
      </c>
      <c r="O18" s="77">
        <f>'3 Statement Model'!O18/'3 Statement Model'!O$10</f>
        <v>4.3999999999999997E-2</v>
      </c>
      <c r="P18" s="77">
        <f>'3 Statement Model'!P18/'3 Statement Model'!P$10</f>
        <v>4.3999999999999997E-2</v>
      </c>
      <c r="Q18" s="77">
        <f>'3 Statement Model'!Q18/'3 Statement Model'!Q$10</f>
        <v>4.3999999999999997E-2</v>
      </c>
      <c r="R18" s="77">
        <f>'3 Statement Model'!R18/'3 Statement Model'!R$10</f>
        <v>4.3999999999999997E-2</v>
      </c>
      <c r="S18" s="77">
        <f>'3 Statement Model'!S18/'3 Statement Model'!S$10</f>
        <v>4.3999999999999997E-2</v>
      </c>
      <c r="U18" s="32">
        <f t="shared" si="8"/>
        <v>0</v>
      </c>
      <c r="V18" s="32">
        <f t="shared" si="9"/>
        <v>0</v>
      </c>
    </row>
    <row r="19" spans="2:22">
      <c r="B19" s="57" t="str">
        <f>Schedules!B32</f>
        <v>Other Expenses</v>
      </c>
      <c r="D19" s="77">
        <f>'3 Statement Model'!D19/'3 Statement Model'!D$10</f>
        <v>2.9276818876993665E-2</v>
      </c>
      <c r="E19" s="77">
        <f>'3 Statement Model'!E19/'3 Statement Model'!E$10</f>
        <v>2.9701834862385323E-2</v>
      </c>
      <c r="F19" s="77">
        <f>'3 Statement Model'!F19/'3 Statement Model'!F$10</f>
        <v>3.3404544571761507E-2</v>
      </c>
      <c r="G19" s="77">
        <f>'3 Statement Model'!G19/'3 Statement Model'!G$10</f>
        <v>2.8527904722337627E-2</v>
      </c>
      <c r="H19" s="77">
        <f>'3 Statement Model'!H19/'3 Statement Model'!H$10</f>
        <v>2.6124818577648767E-2</v>
      </c>
      <c r="I19" s="77">
        <f>'3 Statement Model'!I19/'3 Statement Model'!I$10</f>
        <v>2.8000000000000001E-2</v>
      </c>
      <c r="J19" s="77">
        <f>'3 Statement Model'!J19/'3 Statement Model'!J$10</f>
        <v>2.8000000000000001E-2</v>
      </c>
      <c r="K19" s="77">
        <f>'3 Statement Model'!K19/'3 Statement Model'!K$10</f>
        <v>2.8000000000000001E-2</v>
      </c>
      <c r="L19" s="77">
        <f>'3 Statement Model'!L19/'3 Statement Model'!L$10</f>
        <v>2.8000000000000001E-2</v>
      </c>
      <c r="M19" s="77">
        <f>'3 Statement Model'!M19/'3 Statement Model'!M$10</f>
        <v>2.8000000000000001E-2</v>
      </c>
      <c r="N19" s="77">
        <f>'3 Statement Model'!N19/'3 Statement Model'!N$10</f>
        <v>2.8000000000000001E-2</v>
      </c>
      <c r="O19" s="77">
        <f>'3 Statement Model'!O19/'3 Statement Model'!O$10</f>
        <v>2.8000000000000001E-2</v>
      </c>
      <c r="P19" s="77">
        <f>'3 Statement Model'!P19/'3 Statement Model'!P$10</f>
        <v>2.8000000000000004E-2</v>
      </c>
      <c r="Q19" s="77">
        <f>'3 Statement Model'!Q19/'3 Statement Model'!Q$10</f>
        <v>2.8000000000000001E-2</v>
      </c>
      <c r="R19" s="77">
        <f>'3 Statement Model'!R19/'3 Statement Model'!R$10</f>
        <v>2.8000000000000001E-2</v>
      </c>
      <c r="S19" s="77">
        <f>'3 Statement Model'!S19/'3 Statement Model'!S$10</f>
        <v>2.8000000000000001E-2</v>
      </c>
      <c r="U19" s="32">
        <f t="shared" si="8"/>
        <v>0</v>
      </c>
      <c r="V19" s="32">
        <f t="shared" si="9"/>
        <v>0</v>
      </c>
    </row>
    <row r="20" spans="2:22">
      <c r="B20" s="56" t="str">
        <f>Schedules!B36</f>
        <v>Other Misc. Costs</v>
      </c>
      <c r="D20" s="77">
        <f>'3 Statement Model'!D20/'3 Statement Model'!D$10</f>
        <v>4.8798339523705485E-2</v>
      </c>
      <c r="E20" s="77">
        <f>'3 Statement Model'!E20/'3 Statement Model'!E$10</f>
        <v>4.0126146788990825E-2</v>
      </c>
      <c r="F20" s="77">
        <f>'3 Statement Model'!F20/'3 Statement Model'!F$10</f>
        <v>3.7754903864828125E-2</v>
      </c>
      <c r="G20" s="77">
        <f>'3 Statement Model'!G20/'3 Statement Model'!G$10</f>
        <v>4.3705857914416286E-2</v>
      </c>
      <c r="H20" s="77">
        <f>'3 Statement Model'!H20/'3 Statement Model'!H$10</f>
        <v>4.2047653604257378E-2</v>
      </c>
      <c r="I20" s="77">
        <f>'3 Statement Model'!I20/'3 Statement Model'!I$10</f>
        <v>0.04</v>
      </c>
      <c r="J20" s="77">
        <f>'3 Statement Model'!J20/'3 Statement Model'!J$10</f>
        <v>0.04</v>
      </c>
      <c r="K20" s="77">
        <f>'3 Statement Model'!K20/'3 Statement Model'!K$10</f>
        <v>0.04</v>
      </c>
      <c r="L20" s="77">
        <f>'3 Statement Model'!L20/'3 Statement Model'!L$10</f>
        <v>4.0000000000000008E-2</v>
      </c>
      <c r="M20" s="77">
        <f>'3 Statement Model'!M20/'3 Statement Model'!M$10</f>
        <v>0.04</v>
      </c>
      <c r="N20" s="77">
        <f>'3 Statement Model'!N20/'3 Statement Model'!N$10</f>
        <v>0.04</v>
      </c>
      <c r="O20" s="77">
        <f>'3 Statement Model'!O20/'3 Statement Model'!O$10</f>
        <v>0.04</v>
      </c>
      <c r="P20" s="77">
        <f>'3 Statement Model'!P20/'3 Statement Model'!P$10</f>
        <v>0.04</v>
      </c>
      <c r="Q20" s="77">
        <f>'3 Statement Model'!Q20/'3 Statement Model'!Q$10</f>
        <v>0.04</v>
      </c>
      <c r="R20" s="77">
        <f>'3 Statement Model'!R20/'3 Statement Model'!R$10</f>
        <v>0.04</v>
      </c>
      <c r="S20" s="77">
        <f>'3 Statement Model'!S20/'3 Statement Model'!S$10</f>
        <v>0.04</v>
      </c>
      <c r="U20" s="32">
        <f t="shared" si="8"/>
        <v>0</v>
      </c>
      <c r="V20" s="32">
        <f t="shared" si="9"/>
        <v>0</v>
      </c>
    </row>
    <row r="21" spans="2:22">
      <c r="B21" s="60" t="s">
        <v>439</v>
      </c>
      <c r="C21" s="25"/>
      <c r="D21" s="306">
        <f>'3 Statement Model'!D21/'3 Statement Model'!D$10</f>
        <v>0.21604762945160585</v>
      </c>
      <c r="E21" s="306">
        <f>'3 Statement Model'!E21/'3 Statement Model'!E$10</f>
        <v>0.20950688073394497</v>
      </c>
      <c r="F21" s="306">
        <f>'3 Statement Model'!F21/'3 Statement Model'!F$10</f>
        <v>0.2106040007768499</v>
      </c>
      <c r="G21" s="306">
        <f>'3 Statement Model'!G21/'3 Statement Model'!G$10</f>
        <v>0.19292341780916769</v>
      </c>
      <c r="H21" s="306">
        <f>'3 Statement Model'!H21/'3 Statement Model'!H$10</f>
        <v>0.19534954039671021</v>
      </c>
      <c r="I21" s="80">
        <f>'3 Statement Model'!I21/'3 Statement Model'!I$10</f>
        <v>0.184</v>
      </c>
      <c r="J21" s="80">
        <f>'3 Statement Model'!J21/'3 Statement Model'!J$10</f>
        <v>0.184</v>
      </c>
      <c r="K21" s="80">
        <f>'3 Statement Model'!K21/'3 Statement Model'!K$10</f>
        <v>0.18399999999999997</v>
      </c>
      <c r="L21" s="80">
        <f>'3 Statement Model'!L21/'3 Statement Model'!L$10</f>
        <v>0.184</v>
      </c>
      <c r="M21" s="80">
        <f>'3 Statement Model'!M21/'3 Statement Model'!M$10</f>
        <v>0.184</v>
      </c>
      <c r="N21" s="80">
        <f>'3 Statement Model'!N21/'3 Statement Model'!N$10</f>
        <v>0.18400000000000002</v>
      </c>
      <c r="O21" s="80">
        <f>'3 Statement Model'!O21/'3 Statement Model'!O$10</f>
        <v>0.184</v>
      </c>
      <c r="P21" s="80">
        <f>'3 Statement Model'!P21/'3 Statement Model'!P$10</f>
        <v>0.184</v>
      </c>
      <c r="Q21" s="80">
        <f>'3 Statement Model'!Q21/'3 Statement Model'!Q$10</f>
        <v>0.184</v>
      </c>
      <c r="R21" s="80">
        <f>'3 Statement Model'!R21/'3 Statement Model'!R$10</f>
        <v>0.184</v>
      </c>
      <c r="S21" s="80">
        <f>'3 Statement Model'!S21/'3 Statement Model'!S$10</f>
        <v>0.184</v>
      </c>
      <c r="U21" s="32">
        <f t="shared" si="8"/>
        <v>0</v>
      </c>
      <c r="V21" s="32">
        <f t="shared" si="9"/>
        <v>0</v>
      </c>
    </row>
    <row r="22" spans="2:22">
      <c r="B22" s="62"/>
      <c r="D22" s="300"/>
      <c r="E22" s="300"/>
      <c r="F22" s="300"/>
      <c r="G22" s="300"/>
      <c r="H22" s="300"/>
      <c r="I22" s="118"/>
      <c r="J22" s="118"/>
      <c r="K22" s="118"/>
      <c r="L22" s="118"/>
      <c r="M22" s="118"/>
      <c r="N22" s="118"/>
      <c r="O22" s="118"/>
      <c r="P22" s="118"/>
      <c r="Q22" s="118"/>
      <c r="R22" s="118"/>
      <c r="S22" s="118"/>
      <c r="U22" s="32"/>
      <c r="V22" s="32"/>
    </row>
    <row r="23" spans="2:22">
      <c r="B23" s="60" t="s">
        <v>100</v>
      </c>
      <c r="C23" s="25"/>
      <c r="D23" s="306">
        <f>'3 Statement Model'!D23/'3 Statement Model'!D$10</f>
        <v>0.23818003058772125</v>
      </c>
      <c r="E23" s="306">
        <f>'3 Statement Model'!E23/'3 Statement Model'!E$10</f>
        <v>0.20425458715596329</v>
      </c>
      <c r="F23" s="306">
        <f>'3 Statement Model'!F23/'3 Statement Model'!F$10</f>
        <v>0.21103126820741891</v>
      </c>
      <c r="G23" s="306">
        <f>'3 Statement Model'!G23/'3 Statement Model'!G$10</f>
        <v>0.2384572773854037</v>
      </c>
      <c r="H23" s="306">
        <f>'3 Statement Model'!H23/'3 Statement Model'!H$10</f>
        <v>0.26153241412675376</v>
      </c>
      <c r="I23" s="80">
        <f>'3 Statement Model'!I23/'3 Statement Model'!I$10</f>
        <v>0.26160000000000005</v>
      </c>
      <c r="J23" s="80">
        <f>'3 Statement Model'!J23/'3 Statement Model'!J$10</f>
        <v>0.25599999999999995</v>
      </c>
      <c r="K23" s="80">
        <f>'3 Statement Model'!K23/'3 Statement Model'!K$10</f>
        <v>0.26599999999999996</v>
      </c>
      <c r="L23" s="80">
        <f>'3 Statement Model'!L23/'3 Statement Model'!L$10</f>
        <v>0.27100000000000007</v>
      </c>
      <c r="M23" s="80">
        <f>'3 Statement Model'!M23/'3 Statement Model'!M$10</f>
        <v>0.26599999999999996</v>
      </c>
      <c r="N23" s="80">
        <f>'3 Statement Model'!N23/'3 Statement Model'!N$10</f>
        <v>0.2659999999999999</v>
      </c>
      <c r="O23" s="80">
        <f>'3 Statement Model'!O23/'3 Statement Model'!O$10</f>
        <v>0.26599999999999996</v>
      </c>
      <c r="P23" s="80">
        <f>'3 Statement Model'!P23/'3 Statement Model'!P$10</f>
        <v>0.26599999999999996</v>
      </c>
      <c r="Q23" s="80">
        <f>'3 Statement Model'!Q23/'3 Statement Model'!Q$10</f>
        <v>0.26599999999999996</v>
      </c>
      <c r="R23" s="80">
        <f>'3 Statement Model'!R23/'3 Statement Model'!R$10</f>
        <v>0.26600000000000001</v>
      </c>
      <c r="S23" s="80">
        <f>'3 Statement Model'!S23/'3 Statement Model'!S$10</f>
        <v>0.26599999999999996</v>
      </c>
      <c r="U23" s="32"/>
      <c r="V23" s="32"/>
    </row>
    <row r="24" spans="2:22">
      <c r="B24" s="62"/>
      <c r="D24" s="118"/>
      <c r="E24" s="118"/>
      <c r="F24" s="118"/>
      <c r="G24" s="118"/>
      <c r="H24" s="118"/>
      <c r="I24" s="117"/>
      <c r="J24" s="117"/>
      <c r="K24" s="117"/>
      <c r="L24" s="117"/>
      <c r="M24" s="117"/>
      <c r="N24" s="117"/>
      <c r="O24" s="117"/>
      <c r="P24" s="117"/>
      <c r="Q24" s="117"/>
      <c r="R24" s="117"/>
      <c r="S24" s="117"/>
    </row>
    <row r="25" spans="2:22">
      <c r="B25" s="53" t="s">
        <v>56</v>
      </c>
      <c r="D25" s="77">
        <f>'3 Statement Model'!D25/'3 Statement Model'!D$10</f>
        <v>4.1730391085864106E-2</v>
      </c>
      <c r="E25" s="77">
        <f>'3 Statement Model'!E25/'3 Statement Model'!E$10</f>
        <v>5.1720183486238532E-2</v>
      </c>
      <c r="F25" s="77">
        <f>'3 Statement Model'!F25/'3 Statement Model'!F$10</f>
        <v>4.3892017867547095E-2</v>
      </c>
      <c r="G25" s="77">
        <f>'3 Statement Model'!G25/'3 Statement Model'!G$10</f>
        <v>3.6421548262013569E-2</v>
      </c>
      <c r="H25" s="77">
        <f>'3 Statement Model'!H25/'3 Statement Model'!H$10</f>
        <v>3.6163522012578615E-2</v>
      </c>
      <c r="I25" s="77">
        <f>'3 Statement Model'!I25/'3 Statement Model'!I$10</f>
        <v>3.7741859491887596E-2</v>
      </c>
      <c r="J25" s="77">
        <f>'3 Statement Model'!J25/'3 Statement Model'!J$10</f>
        <v>3.9218970861813612E-2</v>
      </c>
      <c r="K25" s="77">
        <f>'3 Statement Model'!K25/'3 Statement Model'!K$10</f>
        <v>3.7966791153317844E-2</v>
      </c>
      <c r="L25" s="77">
        <f>'3 Statement Model'!L25/'3 Statement Model'!L$10</f>
        <v>3.7100230801417659E-2</v>
      </c>
      <c r="M25" s="77">
        <f>'3 Statement Model'!M25/'3 Statement Model'!M$10</f>
        <v>3.6527352757228335E-2</v>
      </c>
      <c r="N25" s="77">
        <f>'3 Statement Model'!N25/'3 Statement Model'!N$10</f>
        <v>3.6191900421658783E-2</v>
      </c>
      <c r="O25" s="77">
        <f>'3 Statement Model'!O25/'3 Statement Model'!O$10</f>
        <v>3.5900433147467235E-2</v>
      </c>
      <c r="P25" s="77">
        <f>'3 Statement Model'!P25/'3 Statement Model'!P$10</f>
        <v>3.5648080529119566E-2</v>
      </c>
      <c r="Q25" s="77">
        <f>'3 Statement Model'!Q25/'3 Statement Model'!Q$10</f>
        <v>3.5430743345853645E-2</v>
      </c>
      <c r="R25" s="77">
        <f>'3 Statement Model'!R25/'3 Statement Model'!R$10</f>
        <v>3.5233848482250078E-2</v>
      </c>
      <c r="S25" s="77">
        <f>'3 Statement Model'!S25/'3 Statement Model'!S$10</f>
        <v>3.5055663085323784E-2</v>
      </c>
      <c r="U25" s="32">
        <f t="shared" ref="U25" si="10">_xlfn.RRI($N$6-$I$6,I25,N25)</f>
        <v>-8.3518203961447934E-3</v>
      </c>
      <c r="V25" s="32">
        <f t="shared" ref="V25" si="11">_xlfn.RRI($N$6-$K$6,K25,N25)</f>
        <v>-1.5832169832824206E-2</v>
      </c>
    </row>
    <row r="26" spans="2:22">
      <c r="B26" s="60" t="s">
        <v>57</v>
      </c>
      <c r="C26" s="25"/>
      <c r="D26" s="306">
        <f>'3 Statement Model'!D26/'3 Statement Model'!D$10</f>
        <v>0.19644963950185712</v>
      </c>
      <c r="E26" s="306">
        <f>'3 Statement Model'!E26/'3 Statement Model'!E$10</f>
        <v>0.15253440366972476</v>
      </c>
      <c r="F26" s="306">
        <f>'3 Statement Model'!F26/'3 Statement Model'!F$10</f>
        <v>0.16713925033987181</v>
      </c>
      <c r="G26" s="306">
        <f>'3 Statement Model'!G26/'3 Statement Model'!G$10</f>
        <v>0.20203572912339013</v>
      </c>
      <c r="H26" s="306">
        <f>'3 Statement Model'!H26/'3 Statement Model'!H$10</f>
        <v>0.22536889211417513</v>
      </c>
      <c r="I26" s="306">
        <f>'3 Statement Model'!I26/'3 Statement Model'!I$10</f>
        <v>0.22385814050811242</v>
      </c>
      <c r="J26" s="306">
        <f>'3 Statement Model'!J26/'3 Statement Model'!J$10</f>
        <v>0.21678102913818634</v>
      </c>
      <c r="K26" s="306">
        <f>'3 Statement Model'!K26/'3 Statement Model'!K$10</f>
        <v>0.22803320884668213</v>
      </c>
      <c r="L26" s="306">
        <f>'3 Statement Model'!L26/'3 Statement Model'!L$10</f>
        <v>0.23389976919858241</v>
      </c>
      <c r="M26" s="306">
        <f>'3 Statement Model'!M26/'3 Statement Model'!M$10</f>
        <v>0.22947264724277164</v>
      </c>
      <c r="N26" s="80">
        <f>'3 Statement Model'!N26/'3 Statement Model'!N$10</f>
        <v>0.22980809957834114</v>
      </c>
      <c r="O26" s="80">
        <f>'3 Statement Model'!O26/'3 Statement Model'!O$10</f>
        <v>0.23009956685253269</v>
      </c>
      <c r="P26" s="80">
        <f>'3 Statement Model'!P26/'3 Statement Model'!P$10</f>
        <v>0.23035191947088035</v>
      </c>
      <c r="Q26" s="80">
        <f>'3 Statement Model'!Q26/'3 Statement Model'!Q$10</f>
        <v>0.23056925665414632</v>
      </c>
      <c r="R26" s="80">
        <f>'3 Statement Model'!R26/'3 Statement Model'!R$10</f>
        <v>0.23076615151774993</v>
      </c>
      <c r="S26" s="80">
        <f>'3 Statement Model'!S26/'3 Statement Model'!S$10</f>
        <v>0.2309443369146762</v>
      </c>
    </row>
    <row r="27" spans="2:22">
      <c r="B27" s="62"/>
      <c r="D27" s="300"/>
      <c r="E27" s="300"/>
      <c r="F27" s="300"/>
      <c r="G27" s="300"/>
      <c r="H27" s="300"/>
      <c r="I27" s="300"/>
      <c r="J27" s="300"/>
      <c r="K27" s="300"/>
      <c r="L27" s="300"/>
      <c r="M27" s="300"/>
      <c r="N27" s="118"/>
      <c r="O27" s="118"/>
      <c r="P27" s="118"/>
      <c r="Q27" s="118"/>
      <c r="R27" s="118"/>
      <c r="S27" s="118"/>
    </row>
    <row r="28" spans="2:22">
      <c r="B28" s="259" t="s">
        <v>103</v>
      </c>
      <c r="C28" s="40"/>
      <c r="D28" s="301">
        <f>D26/D10</f>
        <v>0.19644963950185712</v>
      </c>
      <c r="E28" s="301">
        <f t="shared" ref="E28:N28" si="12">E26/E10</f>
        <v>0.15253440366972476</v>
      </c>
      <c r="F28" s="301">
        <f t="shared" si="12"/>
        <v>0.16713925033987181</v>
      </c>
      <c r="G28" s="301">
        <f t="shared" si="12"/>
        <v>0.20203572912339013</v>
      </c>
      <c r="H28" s="301">
        <f t="shared" si="12"/>
        <v>0.22536889211417513</v>
      </c>
      <c r="I28" s="301">
        <f t="shared" si="12"/>
        <v>0.22385814050811242</v>
      </c>
      <c r="J28" s="301">
        <f t="shared" si="12"/>
        <v>0.21678102913818634</v>
      </c>
      <c r="K28" s="301">
        <f t="shared" si="12"/>
        <v>0.22803320884668213</v>
      </c>
      <c r="L28" s="301">
        <f t="shared" si="12"/>
        <v>0.23389976919858241</v>
      </c>
      <c r="M28" s="301">
        <f t="shared" si="12"/>
        <v>0.22947264724277164</v>
      </c>
      <c r="N28" s="260">
        <f t="shared" si="12"/>
        <v>0.22980809957834114</v>
      </c>
      <c r="O28" s="260">
        <f t="shared" ref="O28:S28" si="13">O26/O10</f>
        <v>0.23009956685253269</v>
      </c>
      <c r="P28" s="260">
        <f t="shared" si="13"/>
        <v>0.23035191947088035</v>
      </c>
      <c r="Q28" s="260">
        <f t="shared" si="13"/>
        <v>0.23056925665414632</v>
      </c>
      <c r="R28" s="260">
        <f t="shared" si="13"/>
        <v>0.23076615151774993</v>
      </c>
      <c r="S28" s="260">
        <f t="shared" si="13"/>
        <v>0.2309443369146762</v>
      </c>
    </row>
    <row r="29" spans="2:22">
      <c r="B29" s="56"/>
      <c r="D29" s="302"/>
      <c r="E29" s="302"/>
      <c r="F29" s="302"/>
      <c r="G29" s="302"/>
      <c r="H29" s="302"/>
      <c r="I29" s="303"/>
      <c r="J29" s="303"/>
      <c r="K29" s="303"/>
      <c r="L29" s="303"/>
      <c r="M29" s="303"/>
      <c r="N29" s="117"/>
      <c r="O29" s="117"/>
      <c r="P29" s="117"/>
      <c r="Q29" s="117"/>
      <c r="R29" s="117"/>
      <c r="S29" s="117"/>
    </row>
    <row r="30" spans="2:22">
      <c r="B30" s="261" t="s">
        <v>572</v>
      </c>
      <c r="D30" s="307">
        <f>'3 Statement Model'!D30/'3 Statement Model'!D$10</f>
        <v>2.075595368145073E-3</v>
      </c>
      <c r="E30" s="307">
        <f>'3 Statement Model'!E30/'3 Statement Model'!E$10</f>
        <v>1.834862385321101E-3</v>
      </c>
      <c r="F30" s="307">
        <f>'3 Statement Model'!F30/'3 Statement Model'!F$10</f>
        <v>1.8450184501845018E-3</v>
      </c>
      <c r="G30" s="307">
        <f>'3 Statement Model'!G30/'3 Statement Model'!G$10</f>
        <v>1.9387896413239163E-3</v>
      </c>
      <c r="H30" s="307">
        <f>'3 Statement Model'!H30/'3 Statement Model'!H$10</f>
        <v>3.0841799709724238E-3</v>
      </c>
      <c r="I30" s="308">
        <f>'3 Statement Model'!I30/'3 Statement Model'!I$10</f>
        <v>8.3543776688298546E-4</v>
      </c>
      <c r="J30" s="308">
        <f>'3 Statement Model'!J30/'3 Statement Model'!J$10</f>
        <v>1.2769130434782611E-3</v>
      </c>
      <c r="K30" s="308">
        <f>'3 Statement Model'!K30/'3 Statement Model'!K$10</f>
        <v>1.2667606837606839E-3</v>
      </c>
      <c r="L30" s="308">
        <f>'3 Statement Model'!L30/'3 Statement Model'!L$10</f>
        <v>1.2856470588235296E-3</v>
      </c>
      <c r="M30" s="308">
        <f>'3 Statement Model'!M30/'3 Statement Model'!M$10</f>
        <v>1.3057963525835868E-3</v>
      </c>
      <c r="N30" s="32">
        <f>'3 Statement Model'!N30/'3 Statement Model'!N$10</f>
        <v>1.3273396226415096E-3</v>
      </c>
      <c r="O30" s="32">
        <f>'3 Statement Model'!O30/'3 Statement Model'!O$10</f>
        <v>1.33039336492891E-3</v>
      </c>
      <c r="P30" s="32">
        <f>'3 Statement Model'!P30/'3 Statement Model'!P$10</f>
        <v>1.3334761904761903E-3</v>
      </c>
      <c r="Q30" s="32">
        <f>'3 Statement Model'!Q30/'3 Statement Model'!Q$10</f>
        <v>1.3365885167464116E-3</v>
      </c>
      <c r="R30" s="32">
        <f>'3 Statement Model'!R30/'3 Statement Model'!R$10</f>
        <v>1.3381558752997604E-3</v>
      </c>
      <c r="S30" s="32">
        <f>'3 Statement Model'!S30/'3 Statement Model'!S$10</f>
        <v>1.3397307692307693E-3</v>
      </c>
    </row>
    <row r="31" spans="2:22">
      <c r="B31" s="261" t="s">
        <v>188</v>
      </c>
      <c r="D31" s="307">
        <f>'3 Statement Model'!D31/'3 Statement Model'!D$10</f>
        <v>6.2923312213240115E-2</v>
      </c>
      <c r="E31" s="307">
        <f>'3 Statement Model'!E31/'3 Statement Model'!E$10</f>
        <v>5.5504587155963306E-2</v>
      </c>
      <c r="F31" s="307">
        <f>'3 Statement Model'!F31/'3 Statement Model'!F$10</f>
        <v>4.865022334433871E-2</v>
      </c>
      <c r="G31" s="307">
        <f>'3 Statement Model'!G31/'3 Statement Model'!G$10</f>
        <v>6.3010663343027282E-2</v>
      </c>
      <c r="H31" s="307">
        <f>'3 Statement Model'!H31/'3 Statement Model'!H$10</f>
        <v>9.2283502660861147E-2</v>
      </c>
      <c r="I31" s="307">
        <f>'3 Statement Model'!I31/'3 Statement Model'!I$10</f>
        <v>9.0550000000000005E-2</v>
      </c>
      <c r="J31" s="307">
        <f>'3 Statement Model'!J31/'3 Statement Model'!J$10</f>
        <v>0.06</v>
      </c>
      <c r="K31" s="307">
        <f>'3 Statement Model'!K31/'3 Statement Model'!K$10</f>
        <v>6.0000000000000005E-2</v>
      </c>
      <c r="L31" s="307">
        <f>'3 Statement Model'!L31/'3 Statement Model'!L$10</f>
        <v>0.06</v>
      </c>
      <c r="M31" s="307">
        <f>'3 Statement Model'!M31/'3 Statement Model'!M$10</f>
        <v>0.06</v>
      </c>
      <c r="N31" s="77">
        <f>'3 Statement Model'!N31/'3 Statement Model'!N$10</f>
        <v>0.06</v>
      </c>
      <c r="O31" s="77">
        <f>'3 Statement Model'!O31/'3 Statement Model'!O$10</f>
        <v>5.9999999999999991E-2</v>
      </c>
      <c r="P31" s="77">
        <f>'3 Statement Model'!P31/'3 Statement Model'!P$10</f>
        <v>5.9999999999999991E-2</v>
      </c>
      <c r="Q31" s="77">
        <f>'3 Statement Model'!Q31/'3 Statement Model'!Q$10</f>
        <v>6.0000000000000005E-2</v>
      </c>
      <c r="R31" s="77">
        <f>'3 Statement Model'!R31/'3 Statement Model'!R$10</f>
        <v>0.06</v>
      </c>
      <c r="S31" s="77">
        <f>'3 Statement Model'!S31/'3 Statement Model'!S$10</f>
        <v>0.06</v>
      </c>
    </row>
    <row r="32" spans="2:22">
      <c r="B32" s="60" t="s">
        <v>187</v>
      </c>
      <c r="C32" s="24"/>
      <c r="D32" s="306">
        <f>'3 Statement Model'!D32/'3 Statement Model'!D$10</f>
        <v>0.25729735634695217</v>
      </c>
      <c r="E32" s="306">
        <f>'3 Statement Model'!E32/'3 Statement Model'!E$10</f>
        <v>0.20620412844036695</v>
      </c>
      <c r="F32" s="306">
        <f>'3 Statement Model'!F32/'3 Statement Model'!F$10</f>
        <v>0.213944455234026</v>
      </c>
      <c r="G32" s="306">
        <f>'3 Statement Model'!G32/'3 Statement Model'!G$10</f>
        <v>0.26310760282509349</v>
      </c>
      <c r="H32" s="306">
        <f>'3 Statement Model'!H32/'3 Statement Model'!H$10</f>
        <v>0.31456821480406383</v>
      </c>
      <c r="I32" s="306">
        <f>'3 Statement Model'!I32/'3 Statement Model'!I$10</f>
        <v>0.31357270274122945</v>
      </c>
      <c r="J32" s="306">
        <f>'3 Statement Model'!J32/'3 Statement Model'!J$10</f>
        <v>0.27550411609470804</v>
      </c>
      <c r="K32" s="306">
        <f>'3 Statement Model'!K32/'3 Statement Model'!K$10</f>
        <v>0.28676644816292141</v>
      </c>
      <c r="L32" s="306">
        <f>'3 Statement Model'!L32/'3 Statement Model'!L$10</f>
        <v>0.2926141221397589</v>
      </c>
      <c r="M32" s="306">
        <f>'3 Statement Model'!M32/'3 Statement Model'!M$10</f>
        <v>0.28816685089018806</v>
      </c>
      <c r="N32" s="80">
        <f>'3 Statement Model'!N32/'3 Statement Model'!N$10</f>
        <v>0.28848075995569961</v>
      </c>
      <c r="O32" s="80">
        <f>'3 Statement Model'!O32/'3 Statement Model'!O$10</f>
        <v>0.28876917348760378</v>
      </c>
      <c r="P32" s="80">
        <f>'3 Statement Model'!P32/'3 Statement Model'!P$10</f>
        <v>0.28901844328040421</v>
      </c>
      <c r="Q32" s="80">
        <f>'3 Statement Model'!Q32/'3 Statement Model'!Q$10</f>
        <v>0.28923266813739995</v>
      </c>
      <c r="R32" s="80">
        <f>'3 Statement Model'!R32/'3 Statement Model'!R$10</f>
        <v>0.28942799564245014</v>
      </c>
      <c r="S32" s="80">
        <f>'3 Statement Model'!S32/'3 Statement Model'!S$10</f>
        <v>0.28960460614544542</v>
      </c>
      <c r="U32" s="32">
        <f t="shared" ref="U32" si="14">_xlfn.RRI($N$6-$I$6,I32,N32)</f>
        <v>-1.6542218840073675E-2</v>
      </c>
      <c r="V32" s="32">
        <f t="shared" ref="V32" si="15">_xlfn.RRI($N$6-$K$6,K32,N32)</f>
        <v>1.9887345124258715E-3</v>
      </c>
    </row>
    <row r="33" spans="1:22">
      <c r="B33" s="56"/>
      <c r="D33" s="302"/>
      <c r="E33" s="302"/>
      <c r="F33" s="302"/>
      <c r="G33" s="302"/>
      <c r="H33" s="302"/>
      <c r="I33" s="303"/>
      <c r="J33" s="303"/>
      <c r="K33" s="303"/>
      <c r="L33" s="303"/>
      <c r="M33" s="303"/>
      <c r="N33" s="117"/>
      <c r="O33" s="117"/>
      <c r="P33" s="117"/>
      <c r="Q33" s="117"/>
      <c r="R33" s="117"/>
      <c r="S33" s="117"/>
    </row>
    <row r="34" spans="1:22">
      <c r="B34" s="56" t="s">
        <v>4</v>
      </c>
      <c r="D34" s="307">
        <f>'3 Statement Model'!D34/'3 Statement Model'!D$10</f>
        <v>5.7570461000655451E-2</v>
      </c>
      <c r="E34" s="307">
        <f>'3 Statement Model'!E34/'3 Statement Model'!E$10</f>
        <v>5.1834862385321104E-2</v>
      </c>
      <c r="F34" s="307">
        <f>'3 Statement Model'!F34/'3 Statement Model'!F$10</f>
        <v>5.1077879199844627E-2</v>
      </c>
      <c r="G34" s="307">
        <f>'3 Statement Model'!G34/'3 Statement Model'!G$10</f>
        <v>6.1348843650463926E-2</v>
      </c>
      <c r="H34" s="307">
        <f>'3 Statement Model'!H34/'3 Statement Model'!H$10</f>
        <v>7.2629414610546686E-2</v>
      </c>
      <c r="I34" s="307">
        <f>'3 Statement Model'!I34/'3 Statement Model'!I$10</f>
        <v>6.4029774578986356E-2</v>
      </c>
      <c r="J34" s="307">
        <f>'3 Statement Model'!J34/'3 Statement Model'!J$10</f>
        <v>5.6256384228969503E-2</v>
      </c>
      <c r="K34" s="307">
        <f>'3 Statement Model'!K34/'3 Statement Model'!K$10</f>
        <v>7.1691612040730351E-2</v>
      </c>
      <c r="L34" s="307">
        <f>'3 Statement Model'!L34/'3 Statement Model'!L$10</f>
        <v>7.3153530534939726E-2</v>
      </c>
      <c r="M34" s="307">
        <f>'3 Statement Model'!M34/'3 Statement Model'!M$10</f>
        <v>7.2041712722547016E-2</v>
      </c>
      <c r="N34" s="77">
        <f>'3 Statement Model'!N34/'3 Statement Model'!N$10</f>
        <v>7.2120189988924902E-2</v>
      </c>
      <c r="O34" s="77">
        <f>'3 Statement Model'!O34/'3 Statement Model'!O$10</f>
        <v>7.2192293371900945E-2</v>
      </c>
      <c r="P34" s="77">
        <f>'3 Statement Model'!P34/'3 Statement Model'!P$10</f>
        <v>7.2254610820101053E-2</v>
      </c>
      <c r="Q34" s="77">
        <f>'3 Statement Model'!Q34/'3 Statement Model'!Q$10</f>
        <v>7.2308167034349988E-2</v>
      </c>
      <c r="R34" s="77">
        <f>'3 Statement Model'!R34/'3 Statement Model'!R$10</f>
        <v>7.2356998910612536E-2</v>
      </c>
      <c r="S34" s="77">
        <f>'3 Statement Model'!S34/'3 Statement Model'!S$10</f>
        <v>7.2401151536361355E-2</v>
      </c>
      <c r="U34" s="32">
        <f t="shared" ref="U34:U35" si="16">_xlfn.RRI($N$6-$I$6,I34,N34)</f>
        <v>2.4082577996864307E-2</v>
      </c>
      <c r="V34" s="32">
        <f t="shared" ref="V34:V35" si="17">_xlfn.RRI($N$6-$K$6,K34,N34)</f>
        <v>1.9887345124258715E-3</v>
      </c>
    </row>
    <row r="35" spans="1:22" ht="15" thickBot="1">
      <c r="B35" s="58" t="s">
        <v>5</v>
      </c>
      <c r="C35" s="30"/>
      <c r="D35" s="309">
        <f>'3 Statement Model'!D35/'3 Statement Model'!D$10</f>
        <v>0.19972689534629673</v>
      </c>
      <c r="E35" s="309">
        <f>'3 Statement Model'!E35/'3 Statement Model'!E$10</f>
        <v>0.15436926605504586</v>
      </c>
      <c r="F35" s="309">
        <f>'3 Statement Model'!F35/'3 Statement Model'!F$10</f>
        <v>0.16286657603418137</v>
      </c>
      <c r="G35" s="309">
        <f>'3 Statement Model'!G35/'3 Statement Model'!G$10</f>
        <v>0.20175875917462957</v>
      </c>
      <c r="H35" s="309">
        <f>'3 Statement Model'!H35/'3 Statement Model'!H$10</f>
        <v>0.24193880019351716</v>
      </c>
      <c r="I35" s="309">
        <f>'3 Statement Model'!I35/'3 Statement Model'!I$10</f>
        <v>0.24954292816224308</v>
      </c>
      <c r="J35" s="309">
        <f>'3 Statement Model'!J35/'3 Statement Model'!J$10</f>
        <v>0.21924773186573857</v>
      </c>
      <c r="K35" s="309">
        <f>'3 Statement Model'!K35/'3 Statement Model'!K$10</f>
        <v>0.21507483612219108</v>
      </c>
      <c r="L35" s="309">
        <f>'3 Statement Model'!L35/'3 Statement Model'!L$10</f>
        <v>0.21946059160481921</v>
      </c>
      <c r="M35" s="309">
        <f>'3 Statement Model'!M35/'3 Statement Model'!M$10</f>
        <v>0.21612513816764103</v>
      </c>
      <c r="N35" s="78">
        <f>'3 Statement Model'!N35/'3 Statement Model'!N$10</f>
        <v>0.21636056996677469</v>
      </c>
      <c r="O35" s="78">
        <f>'3 Statement Model'!O35/'3 Statement Model'!O$10</f>
        <v>0.21657688011570284</v>
      </c>
      <c r="P35" s="78">
        <f>'3 Statement Model'!P35/'3 Statement Model'!P$10</f>
        <v>0.21676383246030315</v>
      </c>
      <c r="Q35" s="78">
        <f>'3 Statement Model'!Q35/'3 Statement Model'!Q$10</f>
        <v>0.21692450110304995</v>
      </c>
      <c r="R35" s="78">
        <f>'3 Statement Model'!R35/'3 Statement Model'!R$10</f>
        <v>0.21707099673183763</v>
      </c>
      <c r="S35" s="78">
        <f>'3 Statement Model'!S35/'3 Statement Model'!S$10</f>
        <v>0.21720345460908408</v>
      </c>
      <c r="U35" s="32">
        <f t="shared" si="16"/>
        <v>-2.8133594784637395E-2</v>
      </c>
      <c r="V35" s="32">
        <f t="shared" si="17"/>
        <v>1.9887345124256495E-3</v>
      </c>
    </row>
    <row r="36" spans="1:22">
      <c r="D36" s="117"/>
      <c r="E36" s="117"/>
      <c r="F36" s="117"/>
      <c r="G36" s="117"/>
      <c r="H36" s="117"/>
      <c r="M36" s="117"/>
      <c r="N36" s="117"/>
      <c r="O36" s="117"/>
      <c r="P36" s="117"/>
      <c r="Q36" s="117"/>
      <c r="R36" s="117"/>
      <c r="S36" s="117"/>
    </row>
    <row r="37" spans="1:22">
      <c r="B37" s="26" t="s">
        <v>61</v>
      </c>
      <c r="C37" s="26"/>
      <c r="D37" s="174"/>
      <c r="E37" s="284">
        <f>E10/D10-1</f>
        <v>0</v>
      </c>
      <c r="F37" s="284">
        <f t="shared" ref="F37:N37" si="18">F10/E10-1</f>
        <v>0</v>
      </c>
      <c r="G37" s="284">
        <f t="shared" si="18"/>
        <v>0</v>
      </c>
      <c r="H37" s="284">
        <f t="shared" si="18"/>
        <v>0</v>
      </c>
      <c r="I37" s="284">
        <f t="shared" si="18"/>
        <v>0</v>
      </c>
      <c r="J37" s="284">
        <f t="shared" si="18"/>
        <v>0</v>
      </c>
      <c r="K37" s="284">
        <f t="shared" si="18"/>
        <v>0</v>
      </c>
      <c r="L37" s="284">
        <f t="shared" si="18"/>
        <v>0</v>
      </c>
      <c r="M37" s="284">
        <f t="shared" si="18"/>
        <v>0</v>
      </c>
      <c r="N37" s="284">
        <f t="shared" si="18"/>
        <v>0</v>
      </c>
      <c r="O37" s="284">
        <f t="shared" ref="O37" si="19">O10/N10-1</f>
        <v>0</v>
      </c>
      <c r="P37" s="284">
        <f t="shared" ref="P37" si="20">P10/O10-1</f>
        <v>0</v>
      </c>
      <c r="Q37" s="284">
        <f t="shared" ref="Q37" si="21">Q10/P10-1</f>
        <v>0</v>
      </c>
      <c r="R37" s="284">
        <f t="shared" ref="R37" si="22">R10/Q10-1</f>
        <v>0</v>
      </c>
      <c r="S37" s="284">
        <f t="shared" ref="S37" si="23">S10/R10-1</f>
        <v>0</v>
      </c>
    </row>
    <row r="38" spans="1:22">
      <c r="B38" s="26" t="s">
        <v>62</v>
      </c>
      <c r="C38" s="26"/>
      <c r="D38" s="26"/>
      <c r="E38" s="251">
        <f>E12/E10</f>
        <v>0.41376146788990825</v>
      </c>
      <c r="F38" s="251">
        <f t="shared" ref="F38:N38" si="24">F12/F10</f>
        <v>0.42163526898426879</v>
      </c>
      <c r="G38" s="251">
        <f t="shared" si="24"/>
        <v>0.4313806951945714</v>
      </c>
      <c r="H38" s="251">
        <f t="shared" si="24"/>
        <v>0.45688195452346397</v>
      </c>
      <c r="I38" s="251">
        <f t="shared" si="24"/>
        <v>0.44560000000000005</v>
      </c>
      <c r="J38" s="251">
        <f t="shared" si="24"/>
        <v>0.43999999999999995</v>
      </c>
      <c r="K38" s="251">
        <f t="shared" si="24"/>
        <v>0.44999999999999996</v>
      </c>
      <c r="L38" s="251">
        <f t="shared" si="24"/>
        <v>0.45500000000000007</v>
      </c>
      <c r="M38" s="251">
        <f t="shared" si="24"/>
        <v>0.44999999999999996</v>
      </c>
      <c r="N38" s="251">
        <f t="shared" si="24"/>
        <v>0.4499999999999999</v>
      </c>
      <c r="O38" s="251">
        <f t="shared" ref="O38:S38" si="25">O12/O10</f>
        <v>0.44999999999999996</v>
      </c>
      <c r="P38" s="251">
        <f t="shared" si="25"/>
        <v>0.44999999999999996</v>
      </c>
      <c r="Q38" s="251">
        <f t="shared" si="25"/>
        <v>0.44999999999999996</v>
      </c>
      <c r="R38" s="251">
        <f t="shared" si="25"/>
        <v>0.45</v>
      </c>
      <c r="S38" s="251">
        <f t="shared" si="25"/>
        <v>0.44999999999999996</v>
      </c>
    </row>
    <row r="39" spans="1:22">
      <c r="B39" s="26" t="s">
        <v>63</v>
      </c>
      <c r="C39" s="26"/>
      <c r="D39" s="26"/>
      <c r="E39" s="251">
        <f>E23/E10</f>
        <v>0.20425458715596329</v>
      </c>
      <c r="F39" s="251">
        <f t="shared" ref="F39:N39" si="26">F23/F10</f>
        <v>0.21103126820741891</v>
      </c>
      <c r="G39" s="251">
        <f t="shared" si="26"/>
        <v>0.2384572773854037</v>
      </c>
      <c r="H39" s="251">
        <f t="shared" si="26"/>
        <v>0.26153241412675376</v>
      </c>
      <c r="I39" s="251">
        <f t="shared" si="26"/>
        <v>0.26160000000000005</v>
      </c>
      <c r="J39" s="251">
        <f t="shared" si="26"/>
        <v>0.25599999999999995</v>
      </c>
      <c r="K39" s="251">
        <f t="shared" si="26"/>
        <v>0.26599999999999996</v>
      </c>
      <c r="L39" s="251">
        <f t="shared" si="26"/>
        <v>0.27100000000000007</v>
      </c>
      <c r="M39" s="251">
        <f t="shared" si="26"/>
        <v>0.26599999999999996</v>
      </c>
      <c r="N39" s="251">
        <f t="shared" si="26"/>
        <v>0.2659999999999999</v>
      </c>
      <c r="O39" s="251">
        <f t="shared" ref="O39:S39" si="27">O23/O10</f>
        <v>0.26599999999999996</v>
      </c>
      <c r="P39" s="251">
        <f t="shared" si="27"/>
        <v>0.26599999999999996</v>
      </c>
      <c r="Q39" s="251">
        <f t="shared" si="27"/>
        <v>0.26599999999999996</v>
      </c>
      <c r="R39" s="251">
        <f t="shared" si="27"/>
        <v>0.26600000000000001</v>
      </c>
      <c r="S39" s="251">
        <f t="shared" si="27"/>
        <v>0.26599999999999996</v>
      </c>
    </row>
    <row r="40" spans="1:22">
      <c r="B40" s="26" t="s">
        <v>64</v>
      </c>
      <c r="C40" s="26"/>
      <c r="D40" s="26"/>
      <c r="E40" s="251">
        <f>E26/E10</f>
        <v>0.15253440366972476</v>
      </c>
      <c r="F40" s="251">
        <f t="shared" ref="F40:N40" si="28">F26/F10</f>
        <v>0.16713925033987181</v>
      </c>
      <c r="G40" s="251">
        <f t="shared" si="28"/>
        <v>0.20203572912339013</v>
      </c>
      <c r="H40" s="251">
        <f t="shared" si="28"/>
        <v>0.22536889211417513</v>
      </c>
      <c r="I40" s="251">
        <f t="shared" si="28"/>
        <v>0.22385814050811242</v>
      </c>
      <c r="J40" s="251">
        <f t="shared" si="28"/>
        <v>0.21678102913818634</v>
      </c>
      <c r="K40" s="251">
        <f t="shared" si="28"/>
        <v>0.22803320884668213</v>
      </c>
      <c r="L40" s="251">
        <f t="shared" si="28"/>
        <v>0.23389976919858241</v>
      </c>
      <c r="M40" s="251">
        <f t="shared" si="28"/>
        <v>0.22947264724277164</v>
      </c>
      <c r="N40" s="251">
        <f t="shared" si="28"/>
        <v>0.22980809957834114</v>
      </c>
      <c r="O40" s="251">
        <f t="shared" ref="O40:S40" si="29">O26/O10</f>
        <v>0.23009956685253269</v>
      </c>
      <c r="P40" s="251">
        <f t="shared" si="29"/>
        <v>0.23035191947088035</v>
      </c>
      <c r="Q40" s="251">
        <f t="shared" si="29"/>
        <v>0.23056925665414632</v>
      </c>
      <c r="R40" s="251">
        <f t="shared" si="29"/>
        <v>0.23076615151774993</v>
      </c>
      <c r="S40" s="251">
        <f t="shared" si="29"/>
        <v>0.2309443369146762</v>
      </c>
    </row>
    <row r="41" spans="1:22">
      <c r="B41" s="26" t="s">
        <v>65</v>
      </c>
      <c r="C41" s="26"/>
      <c r="D41" s="26"/>
      <c r="E41" s="251">
        <f>E34/E32</f>
        <v>0.25137645292252936</v>
      </c>
      <c r="F41" s="251">
        <f t="shared" ref="F41:N41" si="30">F34/F32</f>
        <v>0.23874364560639072</v>
      </c>
      <c r="G41" s="251">
        <f t="shared" si="30"/>
        <v>0.23317016685088687</v>
      </c>
      <c r="H41" s="251">
        <f t="shared" si="30"/>
        <v>0.2308860564815349</v>
      </c>
      <c r="I41" s="251">
        <f t="shared" si="30"/>
        <v>0.20419435116399734</v>
      </c>
      <c r="J41" s="251">
        <f t="shared" si="30"/>
        <v>0.20419435116399734</v>
      </c>
      <c r="K41" s="251">
        <f t="shared" si="30"/>
        <v>0.25</v>
      </c>
      <c r="L41" s="251">
        <f t="shared" si="30"/>
        <v>0.25</v>
      </c>
      <c r="M41" s="251">
        <f t="shared" si="30"/>
        <v>0.25</v>
      </c>
      <c r="N41" s="251">
        <f t="shared" si="30"/>
        <v>0.25</v>
      </c>
      <c r="O41" s="251">
        <f t="shared" ref="O41:S41" si="31">O34/O32</f>
        <v>0.25</v>
      </c>
      <c r="P41" s="251">
        <f t="shared" si="31"/>
        <v>0.25</v>
      </c>
      <c r="Q41" s="251">
        <f t="shared" si="31"/>
        <v>0.25</v>
      </c>
      <c r="R41" s="251">
        <f t="shared" si="31"/>
        <v>0.25</v>
      </c>
      <c r="S41" s="251">
        <f t="shared" si="31"/>
        <v>0.25</v>
      </c>
    </row>
    <row r="42" spans="1:22">
      <c r="B42" s="26" t="s">
        <v>66</v>
      </c>
      <c r="C42" s="26"/>
      <c r="D42" s="26"/>
      <c r="E42" s="251">
        <f>E35/E10</f>
        <v>0.15436926605504586</v>
      </c>
      <c r="F42" s="251">
        <f t="shared" ref="F42:N42" si="32">F35/F10</f>
        <v>0.16286657603418137</v>
      </c>
      <c r="G42" s="251">
        <f t="shared" si="32"/>
        <v>0.20175875917462957</v>
      </c>
      <c r="H42" s="251">
        <f t="shared" si="32"/>
        <v>0.24193880019351716</v>
      </c>
      <c r="I42" s="251">
        <f t="shared" si="32"/>
        <v>0.24954292816224308</v>
      </c>
      <c r="J42" s="251">
        <f t="shared" si="32"/>
        <v>0.21924773186573857</v>
      </c>
      <c r="K42" s="251">
        <f t="shared" si="32"/>
        <v>0.21507483612219108</v>
      </c>
      <c r="L42" s="251">
        <f t="shared" si="32"/>
        <v>0.21946059160481921</v>
      </c>
      <c r="M42" s="251">
        <f t="shared" si="32"/>
        <v>0.21612513816764103</v>
      </c>
      <c r="N42" s="251">
        <f t="shared" si="32"/>
        <v>0.21636056996677469</v>
      </c>
      <c r="O42" s="251">
        <f t="shared" ref="O42:S42" si="33">O35/O10</f>
        <v>0.21657688011570284</v>
      </c>
      <c r="P42" s="251">
        <f t="shared" si="33"/>
        <v>0.21676383246030315</v>
      </c>
      <c r="Q42" s="251">
        <f t="shared" si="33"/>
        <v>0.21692450110304995</v>
      </c>
      <c r="R42" s="251">
        <f t="shared" si="33"/>
        <v>0.21707099673183763</v>
      </c>
      <c r="S42" s="251">
        <f t="shared" si="33"/>
        <v>0.21720345460908408</v>
      </c>
    </row>
    <row r="43" spans="1:22">
      <c r="D43" s="117"/>
      <c r="E43" s="117"/>
      <c r="F43" s="117"/>
      <c r="G43" s="117"/>
      <c r="H43" s="117"/>
      <c r="I43" s="117"/>
      <c r="J43" s="117"/>
      <c r="K43" s="117"/>
      <c r="L43" s="117"/>
      <c r="M43" s="117"/>
      <c r="N43" s="117"/>
      <c r="O43" s="117"/>
      <c r="P43" s="117"/>
      <c r="Q43" s="117"/>
      <c r="R43" s="117"/>
      <c r="S43" s="117"/>
    </row>
    <row r="44" spans="1:22" ht="15.9" customHeight="1">
      <c r="A44" t="s">
        <v>29</v>
      </c>
      <c r="B44" s="16" t="s">
        <v>68</v>
      </c>
      <c r="C44" s="69"/>
      <c r="D44" s="175"/>
      <c r="E44" s="175"/>
      <c r="F44" s="175"/>
      <c r="G44" s="175"/>
      <c r="H44" s="175"/>
      <c r="I44" s="175"/>
      <c r="J44" s="175"/>
      <c r="K44" s="175"/>
      <c r="L44" s="175"/>
      <c r="M44" s="175"/>
      <c r="N44" s="175"/>
      <c r="O44" s="175"/>
      <c r="P44" s="175"/>
      <c r="Q44" s="175"/>
      <c r="R44" s="175"/>
      <c r="S44" s="175"/>
    </row>
    <row r="45" spans="1:22">
      <c r="D45" s="117"/>
      <c r="E45" s="117"/>
      <c r="F45" s="117"/>
      <c r="G45" s="117"/>
      <c r="H45" s="117"/>
      <c r="I45" s="117"/>
      <c r="J45" s="117"/>
      <c r="K45" s="117"/>
      <c r="L45" s="117"/>
      <c r="M45" s="117"/>
      <c r="N45" s="117"/>
      <c r="O45" s="117"/>
      <c r="P45" s="117"/>
      <c r="Q45" s="117"/>
      <c r="R45" s="117"/>
      <c r="S45" s="117"/>
    </row>
    <row r="46" spans="1:22">
      <c r="B46" s="9" t="s">
        <v>6</v>
      </c>
      <c r="C46" s="2"/>
      <c r="D46" s="176"/>
      <c r="F46" s="176"/>
      <c r="G46" s="176"/>
      <c r="H46" s="176"/>
      <c r="I46" s="117"/>
      <c r="J46" s="117"/>
      <c r="K46" s="117"/>
      <c r="L46" s="117"/>
      <c r="M46" s="117"/>
      <c r="N46" s="117"/>
      <c r="O46" s="117"/>
      <c r="P46" s="117"/>
      <c r="Q46" s="117"/>
      <c r="R46" s="117"/>
      <c r="S46" s="117"/>
    </row>
    <row r="47" spans="1:22">
      <c r="B47" s="56" t="s">
        <v>576</v>
      </c>
      <c r="C47" s="2"/>
      <c r="D47" s="77">
        <f ca="1">'3 Statement Model'!D47/'3 Statement Model'!D$62</f>
        <v>0.23703572805551984</v>
      </c>
      <c r="E47" s="77">
        <f ca="1">'3 Statement Model'!E47/'3 Statement Model'!E$62</f>
        <v>0.4004395906312247</v>
      </c>
      <c r="F47" s="77">
        <f ca="1">'3 Statement Model'!F47/'3 Statement Model'!F$62</f>
        <v>0.16865036338515108</v>
      </c>
      <c r="G47" s="77">
        <f ca="1">'3 Statement Model'!G47/'3 Statement Model'!G$62</f>
        <v>3.9899573918388179E-2</v>
      </c>
      <c r="H47" s="77">
        <f ca="1">'3 Statement Model'!H47/'3 Statement Model'!H$62</f>
        <v>6.3162995137314619E-3</v>
      </c>
      <c r="I47" s="77">
        <f>'3 Statement Model'!I47/'3 Statement Model'!I$62</f>
        <v>0.28515601546042713</v>
      </c>
      <c r="J47" s="77">
        <f>'3 Statement Model'!J47/'3 Statement Model'!J$62</f>
        <v>0.26965545900185106</v>
      </c>
      <c r="K47" s="77">
        <f>'3 Statement Model'!K47/'3 Statement Model'!K$62</f>
        <v>0.21957563115452028</v>
      </c>
      <c r="L47" s="77">
        <f>'3 Statement Model'!L47/'3 Statement Model'!L$62</f>
        <v>0.21334549514307219</v>
      </c>
      <c r="M47" s="77">
        <f>'3 Statement Model'!M47/'3 Statement Model'!M$62</f>
        <v>0.21968155032917872</v>
      </c>
      <c r="N47" s="77">
        <f>'3 Statement Model'!N47/'3 Statement Model'!N$62</f>
        <v>0.24058257229818009</v>
      </c>
      <c r="O47" s="77">
        <f>'3 Statement Model'!O47/'3 Statement Model'!O$62</f>
        <v>0.25670241047950859</v>
      </c>
      <c r="P47" s="77">
        <f>'3 Statement Model'!P47/'3 Statement Model'!P$62</f>
        <v>0.26795715179789847</v>
      </c>
      <c r="Q47" s="77">
        <f>'3 Statement Model'!Q47/'3 Statement Model'!Q$62</f>
        <v>0.27681432826491431</v>
      </c>
      <c r="R47" s="77">
        <f>'3 Statement Model'!R47/'3 Statement Model'!R$62</f>
        <v>0.28229925259639377</v>
      </c>
      <c r="S47" s="77">
        <f>'3 Statement Model'!S47/'3 Statement Model'!S$62</f>
        <v>0.28121748289170795</v>
      </c>
    </row>
    <row r="48" spans="1:22">
      <c r="B48" s="56" t="s">
        <v>7</v>
      </c>
      <c r="C48" s="2"/>
      <c r="D48" s="77">
        <f ca="1">'3 Statement Model'!D48/'3 Statement Model'!D$62</f>
        <v>4.5945251253052308E-2</v>
      </c>
      <c r="E48" s="77">
        <f ca="1">'3 Statement Model'!E48/'3 Statement Model'!E$62</f>
        <v>6.0100281612748128E-2</v>
      </c>
      <c r="F48" s="77">
        <f ca="1">'3 Statement Model'!F48/'3 Statement Model'!F$62</f>
        <v>7.0136741863332491E-2</v>
      </c>
      <c r="G48" s="77">
        <f ca="1">'3 Statement Model'!G48/'3 Statement Model'!G$62</f>
        <v>6.6568740819451827E-2</v>
      </c>
      <c r="H48" s="77">
        <f ca="1">'3 Statement Model'!H48/'3 Statement Model'!H$62</f>
        <v>6.0999878865488778E-2</v>
      </c>
      <c r="I48" s="77">
        <f>'3 Statement Model'!I48/'3 Statement Model'!I$62</f>
        <v>5.515688535317901E-2</v>
      </c>
      <c r="J48" s="77">
        <f>'3 Statement Model'!J48/'3 Statement Model'!J$62</f>
        <v>6.3041351134550408E-2</v>
      </c>
      <c r="K48" s="77">
        <f>'3 Statement Model'!K48/'3 Statement Model'!K$62</f>
        <v>6.4402909598869573E-2</v>
      </c>
      <c r="L48" s="77">
        <f>'3 Statement Model'!L48/'3 Statement Model'!L$62</f>
        <v>6.3501159613778627E-2</v>
      </c>
      <c r="M48" s="77">
        <f>'3 Statement Model'!M48/'3 Statement Model'!M$62</f>
        <v>6.2512417593576744E-2</v>
      </c>
      <c r="N48" s="77">
        <f>'3 Statement Model'!N48/'3 Statement Model'!N$62</f>
        <v>5.8526332590026979E-2</v>
      </c>
      <c r="O48" s="77">
        <f>'3 Statement Model'!O48/'3 Statement Model'!O$62</f>
        <v>5.7468431379843754E-2</v>
      </c>
      <c r="P48" s="77">
        <f>'3 Statement Model'!P48/'3 Statement Model'!P$62</f>
        <v>5.6693556219066854E-2</v>
      </c>
      <c r="Q48" s="77">
        <f>'3 Statement Model'!Q48/'3 Statement Model'!Q$62</f>
        <v>5.6160931997332762E-2</v>
      </c>
      <c r="R48" s="77">
        <f>'3 Statement Model'!R48/'3 Statement Model'!R$62</f>
        <v>5.5952328215027165E-2</v>
      </c>
      <c r="S48" s="77">
        <f>'3 Statement Model'!S48/'3 Statement Model'!S$62</f>
        <v>5.6103803720748129E-2</v>
      </c>
    </row>
    <row r="49" spans="2:20">
      <c r="B49" s="56" t="s">
        <v>445</v>
      </c>
      <c r="C49" s="2"/>
      <c r="D49" s="77">
        <f ca="1">'3 Statement Model'!D49/'3 Statement Model'!D$62</f>
        <v>6.9881763269502633E-3</v>
      </c>
      <c r="E49" s="77">
        <f ca="1">'3 Statement Model'!E49/'3 Statement Model'!E$62</f>
        <v>1.085239370835909E-2</v>
      </c>
      <c r="F49" s="77">
        <f ca="1">'3 Statement Model'!F49/'3 Statement Model'!F$62</f>
        <v>1.8711392263892589E-2</v>
      </c>
      <c r="G49" s="77">
        <f ca="1">'3 Statement Model'!G49/'3 Statement Model'!G$62</f>
        <v>1.9220551926743133E-2</v>
      </c>
      <c r="H49" s="77">
        <f ca="1">'3 Statement Model'!H49/'3 Statement Model'!H$62</f>
        <v>1.6180109713257309E-2</v>
      </c>
      <c r="I49" s="77">
        <f>'3 Statement Model'!I49/'3 Statement Model'!I$62</f>
        <v>2.0056494679837354E-2</v>
      </c>
      <c r="J49" s="77">
        <f>'3 Statement Model'!J49/'3 Statement Model'!J$62</f>
        <v>1.8762306885282857E-2</v>
      </c>
      <c r="K49" s="77">
        <f>'3 Statement Model'!K49/'3 Statement Model'!K$62</f>
        <v>1.9516033211778656E-2</v>
      </c>
      <c r="L49" s="77">
        <f>'3 Statement Model'!L49/'3 Statement Model'!L$62</f>
        <v>1.983249177865427E-2</v>
      </c>
      <c r="M49" s="77">
        <f>'3 Statement Model'!M49/'3 Statement Model'!M$62</f>
        <v>1.9766772361605289E-2</v>
      </c>
      <c r="N49" s="77">
        <f>'3 Statement Model'!N49/'3 Statement Model'!N$62</f>
        <v>1.9347547963645278E-2</v>
      </c>
      <c r="O49" s="77">
        <f>'3 Statement Model'!O49/'3 Statement Model'!O$62</f>
        <v>1.8047937127554235E-2</v>
      </c>
      <c r="P49" s="77">
        <f>'3 Statement Model'!P49/'3 Statement Model'!P$62</f>
        <v>1.7804587903508598E-2</v>
      </c>
      <c r="Q49" s="77">
        <f>'3 Statement Model'!Q49/'3 Statement Model'!Q$62</f>
        <v>1.6709037619041151E-2</v>
      </c>
      <c r="R49" s="77">
        <f>'3 Statement Model'!R49/'3 Statement Model'!R$62</f>
        <v>1.4797309941164211E-2</v>
      </c>
      <c r="S49" s="77">
        <f>'3 Statement Model'!S49/'3 Statement Model'!S$62</f>
        <v>1.4837369579040825E-2</v>
      </c>
    </row>
    <row r="50" spans="2:20">
      <c r="B50" s="262" t="s">
        <v>500</v>
      </c>
      <c r="C50" s="2"/>
      <c r="D50" s="77">
        <f ca="1">'3 Statement Model'!D50/'3 Statement Model'!D$62</f>
        <v>0.20177355095746047</v>
      </c>
      <c r="E50" s="77">
        <f ca="1">'3 Statement Model'!E50/'3 Statement Model'!E$62</f>
        <v>7.3906174874647984E-2</v>
      </c>
      <c r="F50" s="77">
        <f ca="1">'3 Statement Model'!F50/'3 Statement Model'!F$62</f>
        <v>2.6332257325014406E-2</v>
      </c>
      <c r="G50" s="77">
        <f ca="1">'3 Statement Model'!G50/'3 Statement Model'!G$62</f>
        <v>1.1459407652800783E-2</v>
      </c>
      <c r="H50" s="77">
        <f ca="1">'3 Statement Model'!H50/'3 Statement Model'!H$62</f>
        <v>7.830480904009552E-3</v>
      </c>
      <c r="I50" s="77">
        <f>'3 Statement Model'!I50/'3 Statement Model'!I$62</f>
        <v>4.6585767188167676E-2</v>
      </c>
      <c r="J50" s="77">
        <f>'3 Statement Model'!J50/'3 Statement Model'!J$62</f>
        <v>4.7937694091897701E-2</v>
      </c>
      <c r="K50" s="77">
        <f>'3 Statement Model'!K50/'3 Statement Model'!K$62</f>
        <v>4.9863464856094469E-2</v>
      </c>
      <c r="L50" s="77">
        <f>'3 Statement Model'!L50/'3 Statement Model'!L$62</f>
        <v>5.0672016494461659E-2</v>
      </c>
      <c r="M50" s="77">
        <f>'3 Statement Model'!M50/'3 Statement Model'!M$62</f>
        <v>5.0504103383901516E-2</v>
      </c>
      <c r="N50" s="77">
        <f>'3 Statement Model'!N50/'3 Statement Model'!N$62</f>
        <v>4.9432985047113701E-2</v>
      </c>
      <c r="O50" s="77">
        <f>'3 Statement Model'!O50/'3 Statement Model'!O$62</f>
        <v>4.8539451958843238E-2</v>
      </c>
      <c r="P50" s="77">
        <f>'3 Statement Model'!P50/'3 Statement Model'!P$62</f>
        <v>4.7884970624699444E-2</v>
      </c>
      <c r="Q50" s="77">
        <f>'3 Statement Model'!Q50/'3 Statement Model'!Q$62</f>
        <v>4.743510124072238E-2</v>
      </c>
      <c r="R50" s="77">
        <f>'3 Statement Model'!R50/'3 Statement Model'!R$62</f>
        <v>4.7258908624593206E-2</v>
      </c>
      <c r="S50" s="77">
        <f>'3 Statement Model'!S50/'3 Statement Model'!S$62</f>
        <v>4.7386849093061643E-2</v>
      </c>
    </row>
    <row r="51" spans="2:20">
      <c r="B51" s="262" t="s">
        <v>581</v>
      </c>
      <c r="C51" s="2"/>
      <c r="D51" s="77">
        <f ca="1">'3 Statement Model'!D51/'3 Statement Model'!D$62</f>
        <v>1.012080709420383E-2</v>
      </c>
      <c r="E51" s="77">
        <f ca="1">'3 Statement Model'!E51/'3 Statement Model'!E$62</f>
        <v>4.2585342399890105E-2</v>
      </c>
      <c r="F51" s="77">
        <f ca="1">'3 Statement Model'!F51/'3 Statement Model'!F$62</f>
        <v>5.6567884559383885E-2</v>
      </c>
      <c r="G51" s="77">
        <f ca="1">'3 Statement Model'!G51/'3 Statement Model'!G$62</f>
        <v>5.0213040805908889E-2</v>
      </c>
      <c r="H51" s="77">
        <f ca="1">'3 Statement Model'!H51/'3 Statement Model'!H$62</f>
        <v>8.2501254607437666E-2</v>
      </c>
      <c r="I51" s="77">
        <f>'3 Statement Model'!I51/'3 Statement Model'!I$62</f>
        <v>4.7251278147998635E-2</v>
      </c>
      <c r="J51" s="77">
        <f>'3 Statement Model'!J51/'3 Statement Model'!J$62</f>
        <v>4.8622518293210522E-2</v>
      </c>
      <c r="K51" s="77">
        <f>'3 Statement Model'!K51/'3 Statement Model'!K$62</f>
        <v>5.0575800068324392E-2</v>
      </c>
      <c r="L51" s="77">
        <f>'3 Statement Model'!L51/'3 Statement Model'!L$62</f>
        <v>5.1395902444382524E-2</v>
      </c>
      <c r="M51" s="77">
        <f>'3 Statement Model'!M51/'3 Statement Model'!M$62</f>
        <v>5.1225590575100101E-2</v>
      </c>
      <c r="N51" s="77">
        <f>'3 Statement Model'!N51/'3 Statement Model'!N$62</f>
        <v>5.0139170547786743E-2</v>
      </c>
      <c r="O51" s="77">
        <f>'3 Statement Model'!O51/'3 Statement Model'!O$62</f>
        <v>4.9232872701112415E-2</v>
      </c>
      <c r="P51" s="77">
        <f>'3 Statement Model'!P51/'3 Statement Model'!P$62</f>
        <v>4.8569041633623716E-2</v>
      </c>
      <c r="Q51" s="77">
        <f>'3 Statement Model'!Q51/'3 Statement Model'!Q$62</f>
        <v>4.8112745544161263E-2</v>
      </c>
      <c r="R51" s="77">
        <f>'3 Statement Model'!R51/'3 Statement Model'!R$62</f>
        <v>4.793403589065881E-2</v>
      </c>
      <c r="S51" s="77">
        <f>'3 Statement Model'!S51/'3 Statement Model'!S$62</f>
        <v>4.8063804080105375E-2</v>
      </c>
    </row>
    <row r="52" spans="2:20">
      <c r="B52" s="71" t="s">
        <v>10</v>
      </c>
      <c r="C52" s="4"/>
      <c r="D52" s="77">
        <f ca="1">'3 Statement Model'!D52/'3 Statement Model'!D$62</f>
        <v>1.0201130960030844E-2</v>
      </c>
      <c r="E52" s="77">
        <f ca="1">'3 Statement Model'!E52/'3 Statement Model'!E$62</f>
        <v>1.7102822996084895E-2</v>
      </c>
      <c r="F52" s="77">
        <f ca="1">'3 Statement Model'!F52/'3 Statement Model'!F$62</f>
        <v>7.7447815661807074E-3</v>
      </c>
      <c r="G52" s="77">
        <f ca="1">'3 Statement Model'!G52/'3 Statement Model'!G$62</f>
        <v>4.479586627913033E-3</v>
      </c>
      <c r="H52" s="77">
        <f ca="1">'3 Statement Model'!H52/'3 Statement Model'!H$62</f>
        <v>5.7538892830567429E-3</v>
      </c>
      <c r="I52" s="77">
        <f>'3 Statement Model'!I52/'3 Statement Model'!I$62</f>
        <v>6.6551095983096668E-3</v>
      </c>
      <c r="J52" s="77">
        <f>'3 Statement Model'!J52/'3 Statement Model'!J$62</f>
        <v>6.8482420131282433E-3</v>
      </c>
      <c r="K52" s="77">
        <f>'3 Statement Model'!K52/'3 Statement Model'!K$62</f>
        <v>7.1233521222992102E-3</v>
      </c>
      <c r="L52" s="77">
        <f>'3 Statement Model'!L52/'3 Statement Model'!L$62</f>
        <v>7.2388594992088082E-3</v>
      </c>
      <c r="M52" s="77">
        <f>'3 Statement Model'!M52/'3 Statement Model'!M$62</f>
        <v>7.2148719119859307E-3</v>
      </c>
      <c r="N52" s="77">
        <f>'3 Statement Model'!N52/'3 Statement Model'!N$62</f>
        <v>7.0618550067305282E-3</v>
      </c>
      <c r="O52" s="77">
        <f>'3 Statement Model'!O52/'3 Statement Model'!O$62</f>
        <v>6.9342074226918906E-3</v>
      </c>
      <c r="P52" s="77">
        <f>'3 Statement Model'!P52/'3 Statement Model'!P$62</f>
        <v>6.8407100892427771E-3</v>
      </c>
      <c r="Q52" s="77">
        <f>'3 Statement Model'!Q52/'3 Statement Model'!Q$62</f>
        <v>6.7764430343889119E-3</v>
      </c>
      <c r="R52" s="77">
        <f>'3 Statement Model'!R52/'3 Statement Model'!R$62</f>
        <v>6.7512726606561704E-3</v>
      </c>
      <c r="S52" s="77">
        <f>'3 Statement Model'!S52/'3 Statement Model'!S$62</f>
        <v>6.7695498704373773E-3</v>
      </c>
    </row>
    <row r="53" spans="2:20">
      <c r="B53" s="1" t="s">
        <v>11</v>
      </c>
      <c r="C53" s="5"/>
      <c r="D53" s="306">
        <f ca="1">'3 Statement Model'!D53/'3 Statement Model'!D$62</f>
        <v>0.51206464464721757</v>
      </c>
      <c r="E53" s="306">
        <f ca="1">'3 Statement Model'!E53/'3 Statement Model'!E$62</f>
        <v>0.60498660622295486</v>
      </c>
      <c r="F53" s="306">
        <f ca="1">'3 Statement Model'!F53/'3 Statement Model'!F$62</f>
        <v>0.34814342096295514</v>
      </c>
      <c r="G53" s="306">
        <f ca="1">'3 Statement Model'!G53/'3 Statement Model'!G$62</f>
        <v>0.19184090175120583</v>
      </c>
      <c r="H53" s="306">
        <f ca="1">'3 Statement Model'!H53/'3 Statement Model'!H$62</f>
        <v>0.1795819128869815</v>
      </c>
      <c r="I53" s="306">
        <f>'3 Statement Model'!I53/'3 Statement Model'!I$62</f>
        <v>0.46086155042791949</v>
      </c>
      <c r="J53" s="306">
        <f>'3 Statement Model'!J53/'3 Statement Model'!J$62</f>
        <v>0.45486757141992079</v>
      </c>
      <c r="K53" s="306">
        <f>'3 Statement Model'!K53/'3 Statement Model'!K$62</f>
        <v>0.41105719101188659</v>
      </c>
      <c r="L53" s="306">
        <f>'3 Statement Model'!L53/'3 Statement Model'!L$62</f>
        <v>0.40598592497355812</v>
      </c>
      <c r="M53" s="306">
        <f>'3 Statement Model'!M53/'3 Statement Model'!M$62</f>
        <v>0.41090530615534837</v>
      </c>
      <c r="N53" s="306">
        <f>'3 Statement Model'!N53/'3 Statement Model'!N$62</f>
        <v>0.42509046345348334</v>
      </c>
      <c r="O53" s="306">
        <f>'3 Statement Model'!O53/'3 Statement Model'!O$62</f>
        <v>0.43692531106955412</v>
      </c>
      <c r="P53" s="306">
        <f>'3 Statement Model'!P53/'3 Statement Model'!P$62</f>
        <v>0.44575001826803984</v>
      </c>
      <c r="Q53" s="306">
        <f>'3 Statement Model'!Q53/'3 Statement Model'!Q$62</f>
        <v>0.45200858770056074</v>
      </c>
      <c r="R53" s="306">
        <f>'3 Statement Model'!R53/'3 Statement Model'!R$62</f>
        <v>0.4549931079284934</v>
      </c>
      <c r="S53" s="306">
        <f>'3 Statement Model'!S53/'3 Statement Model'!S$62</f>
        <v>0.45437885923510135</v>
      </c>
    </row>
    <row r="54" spans="2:20">
      <c r="B54" s="54"/>
      <c r="C54" s="2"/>
      <c r="D54" s="176"/>
      <c r="E54" s="176"/>
      <c r="F54" s="176"/>
      <c r="G54" s="176"/>
      <c r="H54" s="176"/>
      <c r="I54" s="7"/>
      <c r="J54" s="7"/>
      <c r="K54" s="7"/>
      <c r="L54" s="7"/>
      <c r="M54" s="7"/>
      <c r="N54" s="7"/>
      <c r="O54" s="7"/>
      <c r="P54" s="7"/>
      <c r="Q54" s="7"/>
      <c r="R54" s="7"/>
      <c r="S54" s="7"/>
    </row>
    <row r="55" spans="2:20">
      <c r="B55" s="56" t="s">
        <v>504</v>
      </c>
      <c r="C55" s="2"/>
      <c r="D55" s="77">
        <f ca="1">'3 Statement Model'!D55/'3 Statement Model'!D$62</f>
        <v>0.19068885747333247</v>
      </c>
      <c r="E55" s="77">
        <f ca="1">'3 Statement Model'!E55/'3 Statement Model'!E$62</f>
        <v>0.16711312590150423</v>
      </c>
      <c r="F55" s="77">
        <f ca="1">'3 Statement Model'!F55/'3 Statement Model'!F$62</f>
        <v>0.15018680413137628</v>
      </c>
      <c r="G55" s="77">
        <f ca="1">'3 Statement Model'!G55/'3 Statement Model'!G$62</f>
        <v>0.14011730266379138</v>
      </c>
      <c r="H55" s="77">
        <f ca="1">'3 Statement Model'!H55/'3 Statement Model'!H$62</f>
        <v>0.12606641632201016</v>
      </c>
      <c r="I55" s="77">
        <f>'3 Statement Model'!I55/'3 Statement Model'!I$62</f>
        <v>0.13595255309239457</v>
      </c>
      <c r="J55" s="77">
        <f>'3 Statement Model'!J55/'3 Statement Model'!J$62</f>
        <v>0.13423790779238473</v>
      </c>
      <c r="K55" s="77">
        <f>'3 Statement Model'!K55/'3 Statement Model'!K$62</f>
        <v>0.16154168165016086</v>
      </c>
      <c r="L55" s="77">
        <f>'3 Statement Model'!L55/'3 Statement Model'!L$62</f>
        <v>0.15968250507391335</v>
      </c>
      <c r="M55" s="77">
        <f>'3 Statement Model'!M55/'3 Statement Model'!M$62</f>
        <v>0.15620237912549578</v>
      </c>
      <c r="N55" s="77">
        <f>'3 Statement Model'!N55/'3 Statement Model'!N$62</f>
        <v>0.15119823614268488</v>
      </c>
      <c r="O55" s="77">
        <f>'3 Statement Model'!O55/'3 Statement Model'!O$62</f>
        <v>0.1470222435689324</v>
      </c>
      <c r="P55" s="77">
        <f>'3 Statement Model'!P55/'3 Statement Model'!P$62</f>
        <v>0.14380737637739344</v>
      </c>
      <c r="Q55" s="77">
        <f>'3 Statement Model'!Q55/'3 Statement Model'!Q$62</f>
        <v>0.14140483023610462</v>
      </c>
      <c r="R55" s="77">
        <f>'3 Statement Model'!R55/'3 Statement Model'!R$62</f>
        <v>0.13993053243213643</v>
      </c>
      <c r="S55" s="77">
        <f>'3 Statement Model'!S55/'3 Statement Model'!S$62</f>
        <v>0.13944814853865595</v>
      </c>
      <c r="T55" s="59"/>
    </row>
    <row r="56" spans="2:20">
      <c r="B56" s="56" t="s">
        <v>544</v>
      </c>
      <c r="C56" s="2"/>
      <c r="D56" s="77">
        <f ca="1">'3 Statement Model'!D56/'3 Statement Model'!D$62</f>
        <v>2.1687443773293919E-3</v>
      </c>
      <c r="E56" s="77">
        <f ca="1">'3 Statement Model'!E56/'3 Statement Model'!E$62</f>
        <v>4.3959063122467204E-3</v>
      </c>
      <c r="F56" s="77">
        <f ca="1">'3 Statement Model'!F56/'3 Statement Model'!F$62</f>
        <v>8.302405838945719E-3</v>
      </c>
      <c r="G56" s="77">
        <f ca="1">'3 Statement Model'!G56/'3 Statement Model'!G$62</f>
        <v>4.0628808950839137E-3</v>
      </c>
      <c r="H56" s="77">
        <f ca="1">'3 Statement Model'!H56/'3 Statement Model'!H$62</f>
        <v>9.1716129925415758E-3</v>
      </c>
      <c r="I56" s="77">
        <f>'3 Statement Model'!I56/'3 Statement Model'!I$62</f>
        <v>3.8793205811059406E-3</v>
      </c>
      <c r="J56" s="310">
        <f>'3 Statement Model'!J56/'3 Statement Model'!J$62</f>
        <v>0</v>
      </c>
      <c r="K56" s="310">
        <f>'3 Statement Model'!K56/'3 Statement Model'!K$62</f>
        <v>0</v>
      </c>
      <c r="L56" s="310">
        <f>'3 Statement Model'!L56/'3 Statement Model'!L$62</f>
        <v>0</v>
      </c>
      <c r="M56" s="310">
        <f>'3 Statement Model'!M56/'3 Statement Model'!M$62</f>
        <v>0</v>
      </c>
      <c r="N56" s="310">
        <f>'3 Statement Model'!N56/'3 Statement Model'!N$62</f>
        <v>0</v>
      </c>
      <c r="O56" s="310">
        <f>'3 Statement Model'!O56/'3 Statement Model'!O$62</f>
        <v>0</v>
      </c>
      <c r="P56" s="310">
        <f>'3 Statement Model'!P56/'3 Statement Model'!P$62</f>
        <v>0</v>
      </c>
      <c r="Q56" s="310">
        <f>'3 Statement Model'!Q56/'3 Statement Model'!Q$62</f>
        <v>0</v>
      </c>
      <c r="R56" s="310">
        <f>'3 Statement Model'!R56/'3 Statement Model'!R$62</f>
        <v>0</v>
      </c>
      <c r="S56" s="310">
        <f>'3 Statement Model'!S56/'3 Statement Model'!S$62</f>
        <v>0</v>
      </c>
      <c r="T56" s="59"/>
    </row>
    <row r="57" spans="2:20">
      <c r="B57" s="56" t="s">
        <v>539</v>
      </c>
      <c r="C57" s="2"/>
      <c r="D57" s="77">
        <f ca="1">'3 Statement Model'!D57/'3 Statement Model'!D$62</f>
        <v>0.25992802981621904</v>
      </c>
      <c r="E57" s="77">
        <f ca="1">'3 Statement Model'!E57/'3 Statement Model'!E$62</f>
        <v>0.19410673810014423</v>
      </c>
      <c r="F57" s="77">
        <f ca="1">'3 Statement Model'!F57/'3 Statement Model'!F$62</f>
        <v>0.45204741045483549</v>
      </c>
      <c r="G57" s="77">
        <f ca="1">'3 Statement Model'!G57/'3 Statement Model'!G$62</f>
        <v>0.63031950912064671</v>
      </c>
      <c r="H57" s="77">
        <f ca="1">'3 Statement Model'!H57/'3 Statement Model'!H$62</f>
        <v>0.57737899527575409</v>
      </c>
      <c r="I57" s="77">
        <f>'3 Statement Model'!I57/'3 Statement Model'!I$62</f>
        <v>0.36736204982669368</v>
      </c>
      <c r="J57" s="77">
        <f>'3 Statement Model'!J57/'3 Statement Model'!J$62</f>
        <v>0.37802295912467904</v>
      </c>
      <c r="K57" s="77">
        <f>'3 Statement Model'!K57/'3 Statement Model'!K$62</f>
        <v>0.39320903715091643</v>
      </c>
      <c r="L57" s="77">
        <f>'3 Statement Model'!L57/'3 Statement Model'!L$62</f>
        <v>0.39958504435632619</v>
      </c>
      <c r="M57" s="77">
        <f>'3 Statement Model'!M57/'3 Statement Model'!M$62</f>
        <v>0.3982609295416234</v>
      </c>
      <c r="N57" s="77">
        <f>'3 Statement Model'!N57/'3 Statement Model'!N$62</f>
        <v>0.38981439637152515</v>
      </c>
      <c r="O57" s="77">
        <f>'3 Statement Model'!O57/'3 Statement Model'!O$62</f>
        <v>0.38276824973259238</v>
      </c>
      <c r="P57" s="77">
        <f>'3 Statement Model'!P57/'3 Statement Model'!P$62</f>
        <v>0.37760719692620132</v>
      </c>
      <c r="Q57" s="77">
        <f>'3 Statement Model'!Q57/'3 Statement Model'!Q$62</f>
        <v>0.37405965549826792</v>
      </c>
      <c r="R57" s="77">
        <f>'3 Statement Model'!R57/'3 Statement Model'!R$62</f>
        <v>0.37267025086822064</v>
      </c>
      <c r="S57" s="77">
        <f>'3 Statement Model'!S57/'3 Statement Model'!S$62</f>
        <v>0.37367915284814329</v>
      </c>
    </row>
    <row r="58" spans="2:20">
      <c r="B58" s="56" t="s">
        <v>170</v>
      </c>
      <c r="C58" s="2"/>
      <c r="D58" s="77">
        <f ca="1">'3 Statement Model'!D58/'3 Statement Model'!D$62</f>
        <v>1.1887932142398149E-2</v>
      </c>
      <c r="E58" s="77">
        <f ca="1">'3 Statement Model'!E58/'3 Statement Model'!E$62</f>
        <v>1.0440277491585961E-2</v>
      </c>
      <c r="F58" s="77">
        <f ca="1">'3 Statement Model'!F58/'3 Statement Model'!F$62</f>
        <v>1.3011233031183589E-2</v>
      </c>
      <c r="G58" s="77">
        <f ca="1">'3 Statement Model'!G58/'3 Statement Model'!G$62</f>
        <v>1.0625996187142545E-2</v>
      </c>
      <c r="H58" s="77">
        <f ca="1">'3 Statement Model'!H58/'3 Statement Model'!H$62</f>
        <v>1.0685794382819665E-2</v>
      </c>
      <c r="I58" s="77">
        <f>'3 Statement Model'!I58/'3 Statement Model'!I$62</f>
        <v>1.0648175357295467E-2</v>
      </c>
      <c r="J58" s="77">
        <f>'3 Statement Model'!J58/'3 Statement Model'!J$62</f>
        <v>1.0957187221005188E-2</v>
      </c>
      <c r="K58" s="77">
        <f>'3 Statement Model'!K58/'3 Statement Model'!K$62</f>
        <v>1.1397363395678737E-2</v>
      </c>
      <c r="L58" s="77">
        <f>'3 Statement Model'!L58/'3 Statement Model'!L$62</f>
        <v>1.1582175198734094E-2</v>
      </c>
      <c r="M58" s="77">
        <f>'3 Statement Model'!M58/'3 Statement Model'!M$62</f>
        <v>1.1543795059177488E-2</v>
      </c>
      <c r="N58" s="77">
        <f>'3 Statement Model'!N58/'3 Statement Model'!N$62</f>
        <v>1.1298968010768844E-2</v>
      </c>
      <c r="O58" s="77">
        <f>'3 Statement Model'!O58/'3 Statement Model'!O$62</f>
        <v>1.1094731876307025E-2</v>
      </c>
      <c r="P58" s="77">
        <f>'3 Statement Model'!P58/'3 Statement Model'!P$62</f>
        <v>1.0945136142788444E-2</v>
      </c>
      <c r="Q58" s="77">
        <f>'3 Statement Model'!Q58/'3 Statement Model'!Q$62</f>
        <v>1.0842308855022258E-2</v>
      </c>
      <c r="R58" s="77">
        <f>'3 Statement Model'!R58/'3 Statement Model'!R$62</f>
        <v>1.0802036257049874E-2</v>
      </c>
      <c r="S58" s="77">
        <f>'3 Statement Model'!S58/'3 Statement Model'!S$62</f>
        <v>1.0831279792699804E-2</v>
      </c>
    </row>
    <row r="59" spans="2:20">
      <c r="B59" s="71" t="s">
        <v>12</v>
      </c>
      <c r="C59" s="4"/>
      <c r="D59" s="77">
        <f ca="1">'3 Statement Model'!D59/'3 Statement Model'!D$62</f>
        <v>2.3261791543503434E-2</v>
      </c>
      <c r="E59" s="77">
        <f ca="1">'3 Statement Model'!E59/'3 Statement Model'!E$62</f>
        <v>1.8957345971563982E-2</v>
      </c>
      <c r="F59" s="77">
        <f ca="1">'3 Statement Model'!F59/'3 Statement Model'!F$62</f>
        <v>2.83087255807037E-2</v>
      </c>
      <c r="G59" s="77">
        <f ca="1">'3 Statement Model'!G59/'3 Statement Model'!G$62</f>
        <v>2.303340938212961E-2</v>
      </c>
      <c r="H59" s="77">
        <f ca="1">'3 Statement Model'!H59/'3 Statement Model'!H$62</f>
        <v>9.7115268139893032E-2</v>
      </c>
      <c r="I59" s="77">
        <f>'3 Statement Model'!I59/'3 Statement Model'!I$62</f>
        <v>2.1296350714590934E-2</v>
      </c>
      <c r="J59" s="77">
        <f>'3 Statement Model'!J59/'3 Statement Model'!J$62</f>
        <v>2.1914374442010377E-2</v>
      </c>
      <c r="K59" s="77">
        <f>'3 Statement Model'!K59/'3 Statement Model'!K$62</f>
        <v>2.2794726791357474E-2</v>
      </c>
      <c r="L59" s="77">
        <f>'3 Statement Model'!L59/'3 Statement Model'!L$62</f>
        <v>2.3164350397468187E-2</v>
      </c>
      <c r="M59" s="77">
        <f>'3 Statement Model'!M59/'3 Statement Model'!M$62</f>
        <v>2.3087590118354977E-2</v>
      </c>
      <c r="N59" s="311">
        <f>'3 Statement Model'!N59/'3 Statement Model'!N$62</f>
        <v>2.2597936021537687E-2</v>
      </c>
      <c r="O59" s="311">
        <f>'3 Statement Model'!O59/'3 Statement Model'!O$62</f>
        <v>2.218946375261405E-2</v>
      </c>
      <c r="P59" s="311">
        <f>'3 Statement Model'!P59/'3 Statement Model'!P$62</f>
        <v>2.1890272285576887E-2</v>
      </c>
      <c r="Q59" s="311">
        <f>'3 Statement Model'!Q59/'3 Statement Model'!Q$62</f>
        <v>2.1684617710044516E-2</v>
      </c>
      <c r="R59" s="311">
        <f>'3 Statement Model'!R59/'3 Statement Model'!R$62</f>
        <v>2.1604072514099747E-2</v>
      </c>
      <c r="S59" s="311">
        <f>'3 Statement Model'!S59/'3 Statement Model'!S$62</f>
        <v>2.1662559585399609E-2</v>
      </c>
    </row>
    <row r="60" spans="2:20">
      <c r="B60" s="72" t="s">
        <v>13</v>
      </c>
      <c r="C60" s="2"/>
      <c r="D60" s="80">
        <f ca="1">'3 Statement Model'!D60/'3 Statement Model'!D$62</f>
        <v>0.48793535535278243</v>
      </c>
      <c r="E60" s="80">
        <f ca="1">'3 Statement Model'!E60/'3 Statement Model'!E$62</f>
        <v>0.39501339377704514</v>
      </c>
      <c r="F60" s="80">
        <f ca="1">'3 Statement Model'!F60/'3 Statement Model'!F$62</f>
        <v>0.65185657903704486</v>
      </c>
      <c r="G60" s="80">
        <f ca="1">'3 Statement Model'!G60/'3 Statement Model'!G$62</f>
        <v>0.80815909824879417</v>
      </c>
      <c r="H60" s="80">
        <f ca="1">'3 Statement Model'!H60/'3 Statement Model'!H$62</f>
        <v>0.82041808711301845</v>
      </c>
      <c r="I60" s="80">
        <f>'3 Statement Model'!I60/'3 Statement Model'!I$62</f>
        <v>0.53913844957208057</v>
      </c>
      <c r="J60" s="80">
        <f>'3 Statement Model'!J60/'3 Statement Model'!J$62</f>
        <v>0.54513242858007926</v>
      </c>
      <c r="K60" s="80">
        <f>'3 Statement Model'!K60/'3 Statement Model'!K$62</f>
        <v>0.58894280898811346</v>
      </c>
      <c r="L60" s="80">
        <f>'3 Statement Model'!L60/'3 Statement Model'!L$62</f>
        <v>0.59401407502644177</v>
      </c>
      <c r="M60" s="80">
        <f>'3 Statement Model'!M60/'3 Statement Model'!M$62</f>
        <v>0.58909469384465174</v>
      </c>
      <c r="N60" s="80">
        <f>'3 Statement Model'!N60/'3 Statement Model'!N$62</f>
        <v>0.57490953654651655</v>
      </c>
      <c r="O60" s="80">
        <f>'3 Statement Model'!O60/'3 Statement Model'!O$62</f>
        <v>0.56307468893044577</v>
      </c>
      <c r="P60" s="80">
        <f>'3 Statement Model'!P60/'3 Statement Model'!P$62</f>
        <v>0.55424998173196005</v>
      </c>
      <c r="Q60" s="80">
        <f>'3 Statement Model'!Q60/'3 Statement Model'!Q$62</f>
        <v>0.54799141229943937</v>
      </c>
      <c r="R60" s="80">
        <f>'3 Statement Model'!R60/'3 Statement Model'!R$62</f>
        <v>0.54500689207150665</v>
      </c>
      <c r="S60" s="80">
        <f>'3 Statement Model'!S60/'3 Statement Model'!S$62</f>
        <v>0.54562114076489865</v>
      </c>
    </row>
    <row r="61" spans="2:20">
      <c r="B61" s="56"/>
      <c r="C61" s="2"/>
      <c r="D61" s="176"/>
      <c r="E61" s="176"/>
      <c r="F61" s="176"/>
      <c r="G61" s="7"/>
      <c r="H61" s="7"/>
      <c r="I61" s="7"/>
      <c r="J61" s="7"/>
      <c r="K61" s="7"/>
      <c r="L61" s="7"/>
      <c r="M61" s="7"/>
      <c r="N61" s="7"/>
      <c r="O61" s="7"/>
      <c r="P61" s="7"/>
      <c r="Q61" s="7"/>
      <c r="R61" s="7"/>
      <c r="S61" s="7"/>
    </row>
    <row r="62" spans="2:20" ht="15" thickBot="1">
      <c r="B62" s="73" t="s">
        <v>14</v>
      </c>
      <c r="C62" s="8"/>
      <c r="D62" s="309">
        <f ca="1">D60+D53</f>
        <v>1</v>
      </c>
      <c r="E62" s="309">
        <f t="shared" ref="E62:H62" ca="1" si="34">E60+E53</f>
        <v>1</v>
      </c>
      <c r="F62" s="309">
        <f t="shared" ca="1" si="34"/>
        <v>1</v>
      </c>
      <c r="G62" s="309">
        <f t="shared" ca="1" si="34"/>
        <v>1</v>
      </c>
      <c r="H62" s="309">
        <f t="shared" ca="1" si="34"/>
        <v>1</v>
      </c>
      <c r="I62" s="309">
        <f t="shared" ref="I62:M62" si="35">SUM(I60+I53)</f>
        <v>1</v>
      </c>
      <c r="J62" s="309">
        <f t="shared" si="35"/>
        <v>1</v>
      </c>
      <c r="K62" s="309">
        <f t="shared" si="35"/>
        <v>1</v>
      </c>
      <c r="L62" s="309">
        <f t="shared" si="35"/>
        <v>0.99999999999999989</v>
      </c>
      <c r="M62" s="309">
        <f t="shared" si="35"/>
        <v>1</v>
      </c>
      <c r="N62" s="309">
        <f>N60+N53</f>
        <v>0.99999999999999989</v>
      </c>
      <c r="O62" s="309">
        <f t="shared" ref="O62:S62" si="36">O60+O53</f>
        <v>0.99999999999999989</v>
      </c>
      <c r="P62" s="309">
        <f t="shared" si="36"/>
        <v>0.99999999999999989</v>
      </c>
      <c r="Q62" s="309">
        <f t="shared" si="36"/>
        <v>1</v>
      </c>
      <c r="R62" s="309">
        <f t="shared" si="36"/>
        <v>1</v>
      </c>
      <c r="S62" s="309">
        <f t="shared" si="36"/>
        <v>1</v>
      </c>
    </row>
    <row r="63" spans="2:20">
      <c r="B63" s="3"/>
      <c r="C63" s="2"/>
    </row>
    <row r="64" spans="2:20">
      <c r="B64" s="3"/>
      <c r="C64" s="2"/>
      <c r="D64" s="176"/>
      <c r="E64" s="176"/>
      <c r="F64" s="176"/>
      <c r="G64" s="7"/>
      <c r="H64" s="7"/>
    </row>
    <row r="65" spans="2:19">
      <c r="B65" s="9" t="s">
        <v>15</v>
      </c>
      <c r="C65" s="2"/>
      <c r="D65" s="176"/>
      <c r="E65" s="176"/>
      <c r="F65" s="176"/>
      <c r="G65" s="7"/>
      <c r="H65" s="7"/>
      <c r="I65" s="7"/>
      <c r="J65" s="7"/>
      <c r="K65" s="7"/>
      <c r="L65" s="7"/>
      <c r="M65" s="7"/>
      <c r="N65" s="7"/>
      <c r="O65" s="7"/>
      <c r="P65" s="7"/>
      <c r="Q65" s="7"/>
      <c r="R65" s="7"/>
      <c r="S65" s="7"/>
    </row>
    <row r="66" spans="2:19">
      <c r="B66" s="57" t="s">
        <v>20</v>
      </c>
      <c r="C66" s="2"/>
      <c r="D66" s="77">
        <f>'3 Statement Model'!D66/'3 Statement Model'!D$91</f>
        <v>2.1686746987951808E-3</v>
      </c>
      <c r="E66" s="77">
        <f>'3 Statement Model'!E66/'3 Statement Model'!E$91</f>
        <v>1.854522975479085E-3</v>
      </c>
      <c r="F66" s="77">
        <f>'3 Statement Model'!F66/'3 Statement Model'!F$91</f>
        <v>1.6728624535315986E-3</v>
      </c>
      <c r="G66" s="77">
        <f>'3 Statement Model'!G66/'3 Statement Model'!G$91</f>
        <v>1.4063964996353787E-3</v>
      </c>
      <c r="H66" s="77">
        <f>'3 Statement Model'!H66/'3 Statement Model'!H$91</f>
        <v>1.1680726800778714E-3</v>
      </c>
      <c r="I66" s="77">
        <f>'3 Statement Model'!I66/'3 Statement Model'!I$91</f>
        <v>9.5219686990782176E-4</v>
      </c>
      <c r="J66" s="77">
        <f>'3 Statement Model'!J66/'3 Statement Model'!J$91</f>
        <v>8.5202590031473126E-4</v>
      </c>
      <c r="K66" s="77">
        <f>'3 Statement Model'!K66/'3 Statement Model'!K$91</f>
        <v>7.5748188006809138E-4</v>
      </c>
      <c r="L66" s="77">
        <f>'3 Statement Model'!L66/'3 Statement Model'!L$91</f>
        <v>6.7920413387849172E-4</v>
      </c>
      <c r="M66" s="77">
        <f>'3 Statement Model'!M66/'3 Statement Model'!M$91</f>
        <v>6.1728277057004498E-4</v>
      </c>
      <c r="N66" s="77">
        <f>'3 Statement Model'!N66/'3 Statement Model'!N$91</f>
        <v>5.699916073114398E-4</v>
      </c>
      <c r="O66" s="77">
        <f>'3 Statement Model'!O66/'3 Statement Model'!O$91</f>
        <v>5.3051056054325438E-4</v>
      </c>
      <c r="P66" s="77">
        <f>'3 Statement Model'!P66/'3 Statement Model'!P$91</f>
        <v>4.9843564324200717E-4</v>
      </c>
      <c r="Q66" s="77">
        <f>'3 Statement Model'!Q66/'3 Statement Model'!Q$91</f>
        <v>4.7249085510011907E-4</v>
      </c>
      <c r="R66" s="77">
        <f>'3 Statement Model'!R66/'3 Statement Model'!R$91</f>
        <v>4.5154516862774705E-4</v>
      </c>
      <c r="S66" s="77">
        <f>'3 Statement Model'!S66/'3 Statement Model'!S$91</f>
        <v>4.3535346414048947E-4</v>
      </c>
    </row>
    <row r="67" spans="2:19">
      <c r="B67" s="74" t="s">
        <v>583</v>
      </c>
      <c r="C67" s="4"/>
      <c r="D67" s="77">
        <f>'3 Statement Model'!D67/'3 Statement Model'!D$91</f>
        <v>0.79951807228915661</v>
      </c>
      <c r="E67" s="77">
        <f>'3 Statement Model'!E67/'3 Statement Model'!E$91</f>
        <v>0.78377635826636449</v>
      </c>
      <c r="F67" s="77">
        <f>'3 Statement Model'!F67/'3 Statement Model'!F$91</f>
        <v>0.77949194547707557</v>
      </c>
      <c r="G67" s="77">
        <f>'3 Statement Model'!G67/'3 Statement Model'!G$91</f>
        <v>0.7794041045942286</v>
      </c>
      <c r="H67" s="77">
        <f>'3 Statement Model'!H67/'3 Statement Model'!H$91</f>
        <v>0.77949383517196624</v>
      </c>
      <c r="I67" s="77">
        <f>'3 Statement Model'!I67/'3 Statement Model'!I$91</f>
        <v>0.75168419873335213</v>
      </c>
      <c r="J67" s="77">
        <f>'3 Statement Model'!J67/'3 Statement Model'!J$91</f>
        <v>0.77020213179264274</v>
      </c>
      <c r="K67" s="77">
        <f>'3 Statement Model'!K67/'3 Statement Model'!K$91</f>
        <v>0.7766608141621264</v>
      </c>
      <c r="L67" s="77">
        <f>'3 Statement Model'!L67/'3 Statement Model'!L$91</f>
        <v>0.78377656919662042</v>
      </c>
      <c r="M67" s="77">
        <f>'3 Statement Model'!M67/'3 Statement Model'!M$91</f>
        <v>0.79028735468735567</v>
      </c>
      <c r="N67" s="77">
        <f>'3 Statement Model'!N67/'3 Statement Model'!N$91</f>
        <v>0.7984978073217579</v>
      </c>
      <c r="O67" s="77">
        <f>'3 Statement Model'!O67/'3 Statement Model'!O$91</f>
        <v>0.80326060724522985</v>
      </c>
      <c r="P67" s="77">
        <f>'3 Statement Model'!P67/'3 Statement Model'!P$91</f>
        <v>0.80659374294921005</v>
      </c>
      <c r="Q67" s="77">
        <f>'3 Statement Model'!Q67/'3 Statement Model'!Q$91</f>
        <v>0.80870787156924961</v>
      </c>
      <c r="R67" s="77">
        <f>'3 Statement Model'!R67/'3 Statement Model'!R$91</f>
        <v>0.80949520315917567</v>
      </c>
      <c r="S67" s="77">
        <f>'3 Statement Model'!S67/'3 Statement Model'!S$91</f>
        <v>0.80987536186906017</v>
      </c>
    </row>
    <row r="68" spans="2:19">
      <c r="B68" s="1" t="s">
        <v>22</v>
      </c>
      <c r="C68" s="2"/>
      <c r="D68" s="80">
        <f>'3 Statement Model'!D68/'3 Statement Model'!D$91</f>
        <v>0.80168674698795184</v>
      </c>
      <c r="E68" s="80">
        <f>'3 Statement Model'!E68/'3 Statement Model'!E$91</f>
        <v>0.78563088124184355</v>
      </c>
      <c r="F68" s="80">
        <f>'3 Statement Model'!F68/'3 Statement Model'!F$91</f>
        <v>0.78116480793060716</v>
      </c>
      <c r="G68" s="80">
        <f>'3 Statement Model'!G68/'3 Statement Model'!G$91</f>
        <v>0.78081050109386396</v>
      </c>
      <c r="H68" s="80">
        <f>'3 Statement Model'!H68/'3 Statement Model'!H$91</f>
        <v>0.78066190785204415</v>
      </c>
      <c r="I68" s="80">
        <f>'3 Statement Model'!I68/'3 Statement Model'!I$91</f>
        <v>0.7526363956032599</v>
      </c>
      <c r="J68" s="80">
        <f>'3 Statement Model'!J68/'3 Statement Model'!J$91</f>
        <v>0.77105415769295749</v>
      </c>
      <c r="K68" s="80">
        <f>'3 Statement Model'!K68/'3 Statement Model'!K$91</f>
        <v>0.77741829604219448</v>
      </c>
      <c r="L68" s="80">
        <f>'3 Statement Model'!L68/'3 Statement Model'!L$91</f>
        <v>0.78445577333049887</v>
      </c>
      <c r="M68" s="80">
        <f>'3 Statement Model'!M68/'3 Statement Model'!M$91</f>
        <v>0.79090463745792572</v>
      </c>
      <c r="N68" s="80">
        <f>'3 Statement Model'!N68/'3 Statement Model'!N$91</f>
        <v>0.79906779892906932</v>
      </c>
      <c r="O68" s="80">
        <f>'3 Statement Model'!O68/'3 Statement Model'!O$91</f>
        <v>0.80379111780577306</v>
      </c>
      <c r="P68" s="80">
        <f>'3 Statement Model'!P68/'3 Statement Model'!P$91</f>
        <v>0.80709217859245208</v>
      </c>
      <c r="Q68" s="80">
        <f>'3 Statement Model'!Q68/'3 Statement Model'!Q$91</f>
        <v>0.80918036242434965</v>
      </c>
      <c r="R68" s="80">
        <f>'3 Statement Model'!R68/'3 Statement Model'!R$91</f>
        <v>0.80994674832780345</v>
      </c>
      <c r="S68" s="80">
        <f>'3 Statement Model'!S68/'3 Statement Model'!S$91</f>
        <v>0.81031071533320065</v>
      </c>
    </row>
    <row r="69" spans="2:19">
      <c r="B69" s="3"/>
      <c r="C69" s="2"/>
      <c r="D69" s="312"/>
      <c r="E69" s="312"/>
      <c r="F69" s="312"/>
      <c r="G69" s="6"/>
      <c r="H69" s="6"/>
      <c r="I69" s="6"/>
      <c r="J69" s="6"/>
      <c r="K69" s="6"/>
      <c r="L69" s="6"/>
      <c r="M69" s="6"/>
      <c r="N69" s="6"/>
      <c r="O69" s="6"/>
      <c r="P69" s="6"/>
      <c r="Q69" s="6"/>
      <c r="R69" s="6"/>
      <c r="S69" s="6"/>
    </row>
    <row r="70" spans="2:19">
      <c r="B70" s="57" t="s">
        <v>157</v>
      </c>
      <c r="C70" s="2"/>
      <c r="D70" s="77">
        <f>'3 Statement Model'!D70/'3 Statement Model'!D$91</f>
        <v>8.5888915137674882E-2</v>
      </c>
      <c r="E70" s="77">
        <f>'3 Statement Model'!E70/'3 Statement Model'!E$91</f>
        <v>0.11894230687215014</v>
      </c>
      <c r="F70" s="77">
        <f>'3 Statement Model'!F70/'3 Statement Model'!F$91</f>
        <v>0.11269852839938124</v>
      </c>
      <c r="G70" s="77">
        <f>'3 Statement Model'!G70/'3 Statement Model'!G$91</f>
        <v>8.8065137504110935E-2</v>
      </c>
      <c r="H70" s="77">
        <f>'3 Statement Model'!H70/'3 Statement Model'!H$91</f>
        <v>8.2495818718286942E-2</v>
      </c>
      <c r="I70" s="77">
        <f>'3 Statement Model'!I70/'3 Statement Model'!I$91</f>
        <v>9.0976259867742215E-2</v>
      </c>
      <c r="J70" s="77">
        <f>'3 Statement Model'!J70/'3 Statement Model'!J$91</f>
        <v>8.1953756474915526E-2</v>
      </c>
      <c r="K70" s="77">
        <f>'3 Statement Model'!K70/'3 Statement Model'!K$91</f>
        <v>8.3723782478530462E-2</v>
      </c>
      <c r="L70" s="77">
        <f>'3 Statement Model'!L70/'3 Statement Model'!L$91</f>
        <v>8.4307922551059289E-2</v>
      </c>
      <c r="M70" s="77">
        <f>'3 Statement Model'!M70/'3 Statement Model'!M$91</f>
        <v>8.4799453431286698E-2</v>
      </c>
      <c r="N70" s="77">
        <f>'3 Statement Model'!N70/'3 Statement Model'!N$91</f>
        <v>8.3000980764038265E-2</v>
      </c>
      <c r="O70" s="77">
        <f>'3 Statement Model'!O70/'3 Statement Model'!O$91</f>
        <v>8.3590445643409117E-2</v>
      </c>
      <c r="P70" s="77">
        <f>'3 Statement Model'!P70/'3 Statement Model'!P$91</f>
        <v>8.4524938362972396E-2</v>
      </c>
      <c r="Q70" s="77">
        <f>'3 Statement Model'!Q70/'3 Statement Model'!Q$91</f>
        <v>8.5773059777744576E-2</v>
      </c>
      <c r="R70" s="77">
        <f>'3 Statement Model'!R70/'3 Statement Model'!R$91</f>
        <v>8.7489095027133396E-2</v>
      </c>
      <c r="S70" s="77">
        <f>'3 Statement Model'!S70/'3 Statement Model'!S$91</f>
        <v>8.874601679463795E-2</v>
      </c>
    </row>
    <row r="71" spans="2:19">
      <c r="B71" s="57" t="s">
        <v>612</v>
      </c>
      <c r="C71" s="2"/>
      <c r="D71" s="77">
        <f>'3 Statement Model'!D71/'3 Statement Model'!D$91</f>
        <v>2.4233404205055518E-2</v>
      </c>
      <c r="E71" s="77">
        <f>'3 Statement Model'!E71/'3 Statement Model'!E$91</f>
        <v>3.3110709769174518E-2</v>
      </c>
      <c r="F71" s="77">
        <f>'3 Statement Model'!F71/'3 Statement Model'!F$91</f>
        <v>1.2774254683285954E-2</v>
      </c>
      <c r="G71" s="77">
        <f>'3 Statement Model'!G71/'3 Statement Model'!G$91</f>
        <v>8.1748711569219826E-3</v>
      </c>
      <c r="H71" s="77">
        <f>'3 Statement Model'!H71/'3 Statement Model'!H$91</f>
        <v>3.644183176190658E-3</v>
      </c>
      <c r="I71" s="77">
        <f>'3 Statement Model'!I71/'3 Statement Model'!I$91</f>
        <v>4.7251278147998635E-2</v>
      </c>
      <c r="J71" s="77">
        <f>'3 Statement Model'!J71/'3 Statement Model'!J$91</f>
        <v>4.8622518293210515E-2</v>
      </c>
      <c r="K71" s="77">
        <f>'3 Statement Model'!K71/'3 Statement Model'!K$91</f>
        <v>5.0575800068324392E-2</v>
      </c>
      <c r="L71" s="77">
        <f>'3 Statement Model'!L71/'3 Statement Model'!L$91</f>
        <v>5.1395902444382538E-2</v>
      </c>
      <c r="M71" s="77">
        <f>'3 Statement Model'!M71/'3 Statement Model'!M$91</f>
        <v>5.1225590575100101E-2</v>
      </c>
      <c r="N71" s="77">
        <f>'3 Statement Model'!N71/'3 Statement Model'!N$91</f>
        <v>5.0139170547786743E-2</v>
      </c>
      <c r="O71" s="77">
        <f>'3 Statement Model'!O71/'3 Statement Model'!O$91</f>
        <v>4.9232872701112429E-2</v>
      </c>
      <c r="P71" s="77">
        <f>'3 Statement Model'!P71/'3 Statement Model'!P$91</f>
        <v>4.8569041633623716E-2</v>
      </c>
      <c r="Q71" s="77">
        <f>'3 Statement Model'!Q71/'3 Statement Model'!Q$91</f>
        <v>4.8112745544161263E-2</v>
      </c>
      <c r="R71" s="77">
        <f>'3 Statement Model'!R71/'3 Statement Model'!R$91</f>
        <v>4.793403589065881E-2</v>
      </c>
      <c r="S71" s="77">
        <f>'3 Statement Model'!S71/'3 Statement Model'!S$91</f>
        <v>4.8063804080105375E-2</v>
      </c>
    </row>
    <row r="72" spans="2:19">
      <c r="B72" s="57" t="str">
        <f>BS!B54</f>
        <v>Short Term Provisions</v>
      </c>
      <c r="C72" s="2"/>
      <c r="D72" s="77">
        <f>'3 Statement Model'!D72/'3 Statement Model'!D$91</f>
        <v>1.8097750479040345E-2</v>
      </c>
      <c r="E72" s="77">
        <f>'3 Statement Model'!E72/'3 Statement Model'!E$91</f>
        <v>3.0199948193669481E-2</v>
      </c>
      <c r="F72" s="77">
        <f>'3 Statement Model'!F72/'3 Statement Model'!F$91</f>
        <v>2.0009556900000811E-2</v>
      </c>
      <c r="G72" s="77">
        <f>'3 Statement Model'!G72/'3 Statement Model'!G$91</f>
        <v>1.3474034264190105E-2</v>
      </c>
      <c r="H72" s="77">
        <f>'3 Statement Model'!H72/'3 Statement Model'!H$91</f>
        <v>5.5760696376033992E-3</v>
      </c>
      <c r="I72" s="313">
        <f>'3 Statement Model'!I72/'3 Statement Model'!I$91</f>
        <v>4.5455356895771513E-3</v>
      </c>
      <c r="J72" s="313">
        <f>'3 Statement Model'!J72/'3 Statement Model'!J$91</f>
        <v>4.0673460087089297E-3</v>
      </c>
      <c r="K72" s="313">
        <f>'3 Statement Model'!K72/'3 Statement Model'!K$91</f>
        <v>3.6160178938530086E-3</v>
      </c>
      <c r="L72" s="313">
        <f>'3 Statement Model'!L72/'3 Statement Model'!L$91</f>
        <v>3.2423406635981645E-3</v>
      </c>
      <c r="M72" s="313">
        <f>'3 Statement Model'!M72/'3 Statement Model'!M$91</f>
        <v>2.9467444736074691E-3</v>
      </c>
      <c r="N72" s="313">
        <f>'3 Statement Model'!N72/'3 Statement Model'!N$91</f>
        <v>2.7209889841839224E-3</v>
      </c>
      <c r="O72" s="313">
        <f>'3 Statement Model'!O72/'3 Statement Model'!O$91</f>
        <v>2.5325169225565566E-3</v>
      </c>
      <c r="P72" s="313">
        <f>'3 Statement Model'!P72/'3 Statement Model'!P$91</f>
        <v>2.3793997616619105E-3</v>
      </c>
      <c r="Q72" s="313">
        <f>'3 Statement Model'!Q72/'3 Statement Model'!Q$91</f>
        <v>2.255546213950829E-3</v>
      </c>
      <c r="R72" s="313">
        <f>'3 Statement Model'!R72/'3 Statement Model'!R$91</f>
        <v>2.1555570537133283E-3</v>
      </c>
      <c r="S72" s="313">
        <f>'3 Statement Model'!S72/'3 Statement Model'!S$91</f>
        <v>2.0782621444903637E-3</v>
      </c>
    </row>
    <row r="73" spans="2:19">
      <c r="B73" s="57" t="str">
        <f>BS!B55</f>
        <v>Provision for Tax</v>
      </c>
      <c r="C73" s="2"/>
      <c r="D73" s="77">
        <f>'3 Statement Model'!D73/'3 Statement Model'!D$91</f>
        <v>1.2153975378638739E-2</v>
      </c>
      <c r="E73" s="77">
        <f>'3 Statement Model'!E73/'3 Statement Model'!E$91</f>
        <v>2.4018204942072529E-2</v>
      </c>
      <c r="F73" s="77">
        <f>'3 Statement Model'!F73/'3 Statement Model'!F$91</f>
        <v>1.2512654793433275E-2</v>
      </c>
      <c r="G73" s="77">
        <f>'3 Statement Model'!G73/'3 Statement Model'!G$91</f>
        <v>5.4002765810981148E-3</v>
      </c>
      <c r="H73" s="77">
        <f>'3 Statement Model'!H73/'3 Statement Model'!H$91</f>
        <v>1.2498745262038747E-3</v>
      </c>
      <c r="I73" s="313">
        <f>'3 Statement Model'!I73/'3 Statement Model'!I$91</f>
        <v>1.0188806158444778E-3</v>
      </c>
      <c r="J73" s="313">
        <f>'3 Statement Model'!J73/'3 Statement Model'!J$91</f>
        <v>9.1169452606177682E-4</v>
      </c>
      <c r="K73" s="313">
        <f>'3 Statement Model'!K73/'3 Statement Model'!K$91</f>
        <v>8.1052944915637349E-4</v>
      </c>
      <c r="L73" s="313">
        <f>'3 Statement Model'!L73/'3 Statement Model'!L$91</f>
        <v>7.2676979738152793E-4</v>
      </c>
      <c r="M73" s="313">
        <f>'3 Statement Model'!M73/'3 Statement Model'!M$91</f>
        <v>6.6051199001470955E-4</v>
      </c>
      <c r="N73" s="313">
        <f>'3 Statement Model'!N73/'3 Statement Model'!N$91</f>
        <v>6.0990895710451548E-4</v>
      </c>
      <c r="O73" s="313">
        <f>'3 Statement Model'!O73/'3 Statement Model'!O$91</f>
        <v>5.6766299461857741E-4</v>
      </c>
      <c r="P73" s="313">
        <f>'3 Statement Model'!P73/'3 Statement Model'!P$91</f>
        <v>5.3334182372855022E-4</v>
      </c>
      <c r="Q73" s="313">
        <f>'3 Statement Model'!Q73/'3 Statement Model'!Q$91</f>
        <v>5.0558008395038803E-4</v>
      </c>
      <c r="R73" s="313">
        <f>'3 Statement Model'!R73/'3 Statement Model'!R$91</f>
        <v>4.8316754027722758E-4</v>
      </c>
      <c r="S73" s="313">
        <f>'3 Statement Model'!S73/'3 Statement Model'!S$91</f>
        <v>4.65841906932995E-4</v>
      </c>
    </row>
    <row r="74" spans="2:19">
      <c r="B74" s="57" t="str">
        <f>BS!B56</f>
        <v>Other Provisions</v>
      </c>
      <c r="C74" s="2"/>
      <c r="D74" s="77">
        <f>'3 Statement Model'!D74/'3 Statement Model'!D$91</f>
        <v>1.0868834816389743E-2</v>
      </c>
      <c r="E74" s="77">
        <f>'3 Statement Model'!E74/'3 Statement Model'!E$91</f>
        <v>2.1202077460789476E-2</v>
      </c>
      <c r="F74" s="77">
        <f>'3 Statement Model'!F74/'3 Statement Model'!F$91</f>
        <v>9.4767192296166709E-3</v>
      </c>
      <c r="G74" s="77">
        <f>'3 Statement Model'!G74/'3 Statement Model'!G$91</f>
        <v>1.8582409523867907E-3</v>
      </c>
      <c r="H74" s="77">
        <f>'3 Statement Model'!H74/'3 Statement Model'!H$91</f>
        <v>-3.5954639985635922E-3</v>
      </c>
      <c r="I74" s="313">
        <f>'3 Statement Model'!I74/'3 Statement Model'!I$91</f>
        <v>-2.9309730667361165E-3</v>
      </c>
      <c r="J74" s="313">
        <f>'3 Statement Model'!J74/'3 Statement Model'!J$91</f>
        <v>-2.622635134503034E-3</v>
      </c>
      <c r="K74" s="313">
        <f>'3 Statement Model'!K74/'3 Statement Model'!K$91</f>
        <v>-2.3316176089038577E-3</v>
      </c>
      <c r="L74" s="313">
        <f>'3 Statement Model'!L74/'3 Statement Model'!L$91</f>
        <v>-2.0906695727811045E-3</v>
      </c>
      <c r="M74" s="313">
        <f>'3 Statement Model'!M74/'3 Statement Model'!M$91</f>
        <v>-1.9000683916091806E-3</v>
      </c>
      <c r="N74" s="313">
        <f>'3 Statement Model'!N74/'3 Statement Model'!N$91</f>
        <v>-1.7545006732244202E-3</v>
      </c>
      <c r="O74" s="313">
        <f>'3 Statement Model'!O74/'3 Statement Model'!O$91</f>
        <v>-1.6329734046719592E-3</v>
      </c>
      <c r="P74" s="313">
        <f>'3 Statement Model'!P74/'3 Statement Model'!P$91</f>
        <v>-1.534243066756813E-3</v>
      </c>
      <c r="Q74" s="313">
        <f>'3 Statement Model'!Q74/'3 Statement Model'!Q$91</f>
        <v>-1.4543819816501059E-3</v>
      </c>
      <c r="R74" s="313">
        <f>'3 Statement Model'!R74/'3 Statement Model'!R$91</f>
        <v>-1.3899087147712047E-3</v>
      </c>
      <c r="S74" s="313">
        <f>'3 Statement Model'!S74/'3 Statement Model'!S$91</f>
        <v>-1.3400687591312575E-3</v>
      </c>
    </row>
    <row r="75" spans="2:19">
      <c r="B75" s="57" t="str">
        <f>BS!B57</f>
        <v>Other Current Liabilities</v>
      </c>
      <c r="C75" s="2"/>
      <c r="D75" s="77">
        <f>'3 Statement Model'!D75/'3 Statement Model'!D$91</f>
        <v>6.1390923169803401E-2</v>
      </c>
      <c r="E75" s="77">
        <f>'3 Statement Model'!E75/'3 Statement Model'!E$91</f>
        <v>6.5641942836158665E-2</v>
      </c>
      <c r="F75" s="77">
        <f>'3 Statement Model'!F75/'3 Statement Model'!F$91</f>
        <v>4.8634092215985948E-2</v>
      </c>
      <c r="G75" s="77">
        <f>'3 Statement Model'!G75/'3 Statement Model'!G$91</f>
        <v>4.1341520460668905E-2</v>
      </c>
      <c r="H75" s="77">
        <f>'3 Statement Model'!H75/'3 Statement Model'!H$91</f>
        <v>3.9017557848721726E-2</v>
      </c>
      <c r="I75" s="313">
        <f>'3 Statement Model'!I75/'3 Statement Model'!I$91</f>
        <v>3.1806579409530716E-2</v>
      </c>
      <c r="J75" s="313">
        <f>'3 Statement Model'!J75/'3 Statement Model'!J$91</f>
        <v>2.846053196957142E-2</v>
      </c>
      <c r="K75" s="313">
        <f>'3 Statement Model'!K75/'3 Statement Model'!K$91</f>
        <v>2.5302443571357996E-2</v>
      </c>
      <c r="L75" s="313">
        <f>'3 Statement Model'!L75/'3 Statement Model'!L$91</f>
        <v>2.2687703459452764E-2</v>
      </c>
      <c r="M75" s="313">
        <f>'3 Statement Model'!M75/'3 Statement Model'!M$91</f>
        <v>2.0619321571779498E-2</v>
      </c>
      <c r="N75" s="313">
        <f>'3 Statement Model'!N75/'3 Statement Model'!N$91</f>
        <v>1.9039637593507738E-2</v>
      </c>
      <c r="O75" s="313">
        <f>'3 Statement Model'!O75/'3 Statement Model'!O$91</f>
        <v>1.7720837785517134E-2</v>
      </c>
      <c r="P75" s="313">
        <f>'3 Statement Model'!P75/'3 Statement Model'!P$91</f>
        <v>1.6649427621886783E-2</v>
      </c>
      <c r="Q75" s="313">
        <f>'3 Statement Model'!Q75/'3 Statement Model'!Q$91</f>
        <v>1.5782784398854239E-2</v>
      </c>
      <c r="R75" s="313">
        <f>'3 Statement Model'!R75/'3 Statement Model'!R$91</f>
        <v>1.5083127992574384E-2</v>
      </c>
      <c r="S75" s="313">
        <f>'3 Statement Model'!S75/'3 Statement Model'!S$91</f>
        <v>1.4542270580808822E-2</v>
      </c>
    </row>
    <row r="76" spans="2:19">
      <c r="B76" s="57" t="str">
        <f>BS!B58</f>
        <v>Bank Overdraft / Short term credit</v>
      </c>
      <c r="C76" s="2"/>
      <c r="D76" s="77">
        <f>'3 Statement Model'!D76/'3 Statement Model'!D$91</f>
        <v>4.9250597159881367E-3</v>
      </c>
      <c r="E76" s="77">
        <f>'3 Statement Model'!E76/'3 Statement Model'!E$91</f>
        <v>1.5020334209192526E-2</v>
      </c>
      <c r="F76" s="77">
        <f>'3 Statement Model'!F76/'3 Statement Model'!F$91</f>
        <v>1.9178592543998188E-3</v>
      </c>
      <c r="G76" s="77">
        <f>'3 Statement Model'!G76/'3 Statement Model'!G$91</f>
        <v>-6.2155167307051977E-3</v>
      </c>
      <c r="H76" s="77">
        <f>'3 Statement Model'!H76/'3 Statement Model'!H$91</f>
        <v>-7.921659109963116E-3</v>
      </c>
      <c r="I76" s="313">
        <f>'3 Statement Model'!I76/'3 Statement Model'!I$91</f>
        <v>-6.4576281404687894E-3</v>
      </c>
      <c r="J76" s="313">
        <f>'3 Statement Model'!J76/'3 Statement Model'!J$91</f>
        <v>-5.7782866171501865E-3</v>
      </c>
      <c r="K76" s="313">
        <f>'3 Statement Model'!K76/'3 Statement Model'!K$91</f>
        <v>-5.1371060536004919E-3</v>
      </c>
      <c r="L76" s="313">
        <f>'3 Statement Model'!L76/'3 Statement Model'!L$91</f>
        <v>-4.6062404389977402E-3</v>
      </c>
      <c r="M76" s="313">
        <f>'3 Statement Model'!M76/'3 Statement Model'!M$91</f>
        <v>-4.1863008752019391E-3</v>
      </c>
      <c r="N76" s="313">
        <f>'3 Statement Model'!N76/'3 Statement Model'!N$91</f>
        <v>-3.8655807003038266E-3</v>
      </c>
      <c r="O76" s="313">
        <f>'3 Statement Model'!O76/'3 Statement Model'!O$91</f>
        <v>-3.5978273326099379E-3</v>
      </c>
      <c r="P76" s="313">
        <f>'3 Statement Model'!P76/'3 Statement Model'!P$91</f>
        <v>-3.3803010046901728E-3</v>
      </c>
      <c r="Q76" s="313">
        <f>'3 Statement Model'!Q76/'3 Statement Model'!Q$91</f>
        <v>-3.2043481116505465E-3</v>
      </c>
      <c r="R76" s="313">
        <f>'3 Statement Model'!R76/'3 Statement Model'!R$91</f>
        <v>-3.0622982282073048E-3</v>
      </c>
      <c r="S76" s="313">
        <f>'3 Statement Model'!S76/'3 Statement Model'!S$91</f>
        <v>-2.9524889966886258E-3</v>
      </c>
    </row>
    <row r="77" spans="2:19">
      <c r="B77" s="57" t="str">
        <f>BS!B59</f>
        <v>Advances received from customers</v>
      </c>
      <c r="C77" s="2"/>
      <c r="D77" s="77">
        <f>'3 Statement Model'!D77/'3 Statement Model'!D$91</f>
        <v>3.7937107908759218E-2</v>
      </c>
      <c r="E77" s="77">
        <f>'3 Statement Model'!E77/'3 Statement Model'!E$91</f>
        <v>4.0090737396224603E-2</v>
      </c>
      <c r="F77" s="77">
        <f>'3 Statement Model'!F77/'3 Statement Model'!F$91</f>
        <v>2.1620461484883089E-2</v>
      </c>
      <c r="G77" s="77">
        <f>'3 Statement Model'!G77/'3 Statement Model'!G$91</f>
        <v>9.7236435984957605E-3</v>
      </c>
      <c r="H77" s="77">
        <f>'3 Statement Model'!H77/'3 Statement Model'!H$91</f>
        <v>3.4562340330176323E-3</v>
      </c>
      <c r="I77" s="313">
        <f>'3 Statement Model'!I77/'3 Statement Model'!I$91</f>
        <v>2.8174747034481413E-3</v>
      </c>
      <c r="J77" s="313">
        <f>'3 Statement Model'!J77/'3 Statement Model'!J$91</f>
        <v>2.5210767822118245E-3</v>
      </c>
      <c r="K77" s="313">
        <f>'3 Statement Model'!K77/'3 Statement Model'!K$91</f>
        <v>2.2413285559516574E-3</v>
      </c>
      <c r="L77" s="313">
        <f>'3 Statement Model'!L77/'3 Statement Model'!L$91</f>
        <v>2.0097109391520123E-3</v>
      </c>
      <c r="M77" s="313">
        <f>'3 Statement Model'!M77/'3 Statement Model'!M$91</f>
        <v>1.8264905566470167E-3</v>
      </c>
      <c r="N77" s="313">
        <f>'3 Statement Model'!N77/'3 Statement Model'!N$91</f>
        <v>1.6865597709150128E-3</v>
      </c>
      <c r="O77" s="313">
        <f>'3 Statement Model'!O77/'3 Statement Model'!O$91</f>
        <v>1.5697384978669467E-3</v>
      </c>
      <c r="P77" s="313">
        <f>'3 Statement Model'!P77/'3 Statement Model'!P$91</f>
        <v>1.4748313720745637E-3</v>
      </c>
      <c r="Q77" s="313">
        <f>'3 Statement Model'!Q77/'3 Statement Model'!Q$91</f>
        <v>1.398062810250613E-3</v>
      </c>
      <c r="R77" s="313">
        <f>'3 Statement Model'!R77/'3 Statement Model'!R$91</f>
        <v>1.3360861921296388E-3</v>
      </c>
      <c r="S77" s="313">
        <f>'3 Statement Model'!S77/'3 Statement Model'!S$91</f>
        <v>1.2881762280872529E-3</v>
      </c>
    </row>
    <row r="78" spans="2:19">
      <c r="B78" s="57" t="str">
        <f>BS!B60</f>
        <v>Interest Accrued But Not Due</v>
      </c>
      <c r="C78" s="2"/>
      <c r="D78" s="77">
        <f>'3 Statement Model'!D78/'3 Statement Model'!D$91</f>
        <v>5.1258629288395427E-3</v>
      </c>
      <c r="E78" s="77">
        <f>'3 Statement Model'!E78/'3 Statement Model'!E$91</f>
        <v>1.5185180695901778E-2</v>
      </c>
      <c r="F78" s="77">
        <f>'3 Statement Model'!F78/'3 Statement Model'!F$91</f>
        <v>1.9178592543998188E-3</v>
      </c>
      <c r="G78" s="77">
        <f>'3 Statement Model'!G78/'3 Statement Model'!G$91</f>
        <v>-6.1946812270068955E-3</v>
      </c>
      <c r="H78" s="77">
        <f>'3 Statement Model'!H78/'3 Statement Model'!H$91</f>
        <v>-7.9173329148517178E-3</v>
      </c>
      <c r="I78" s="313">
        <f>'3 Statement Model'!I78/'3 Statement Model'!I$91</f>
        <v>-6.4541014853950578E-3</v>
      </c>
      <c r="J78" s="313">
        <f>'3 Statement Model'!J78/'3 Statement Model'!J$91</f>
        <v>-5.7751309656675406E-3</v>
      </c>
      <c r="K78" s="313">
        <f>'3 Statement Model'!K78/'3 Statement Model'!K$91</f>
        <v>-5.1343005651557959E-3</v>
      </c>
      <c r="L78" s="313">
        <f>'3 Statement Model'!L78/'3 Statement Model'!L$91</f>
        <v>-4.6037248681315241E-3</v>
      </c>
      <c r="M78" s="313">
        <f>'3 Statement Model'!M78/'3 Statement Model'!M$91</f>
        <v>-4.1840146427183471E-3</v>
      </c>
      <c r="N78" s="313">
        <f>'3 Statement Model'!N78/'3 Statement Model'!N$91</f>
        <v>-3.863469620276748E-3</v>
      </c>
      <c r="O78" s="313">
        <f>'3 Statement Model'!O78/'3 Statement Model'!O$91</f>
        <v>-3.5958624786820003E-3</v>
      </c>
      <c r="P78" s="313">
        <f>'3 Statement Model'!P78/'3 Statement Model'!P$91</f>
        <v>-3.3784549467522399E-3</v>
      </c>
      <c r="Q78" s="313">
        <f>'3 Statement Model'!Q78/'3 Statement Model'!Q$91</f>
        <v>-3.2025981455205466E-3</v>
      </c>
      <c r="R78" s="313">
        <f>'3 Statement Model'!R78/'3 Statement Model'!R$91</f>
        <v>-3.0606258386938691E-3</v>
      </c>
      <c r="S78" s="313">
        <f>'3 Statement Model'!S78/'3 Statement Model'!S$91</f>
        <v>-2.950876576451069E-3</v>
      </c>
    </row>
    <row r="79" spans="2:19">
      <c r="B79" s="74" t="str">
        <f>BS!B61</f>
        <v>Other Liabilities</v>
      </c>
      <c r="C79" s="4"/>
      <c r="D79" s="77">
        <f>'3 Statement Model'!D79/'3 Statement Model'!D$91</f>
        <v>-8.4552851930598208E-2</v>
      </c>
      <c r="E79" s="77">
        <f>'3 Statement Model'!E79/'3 Statement Model'!E$91</f>
        <v>-0.15446245993875721</v>
      </c>
      <c r="F79" s="77">
        <f>'3 Statement Model'!F79/'3 Statement Model'!F$91</f>
        <v>-5.3596391055389526E-2</v>
      </c>
      <c r="G79" s="77">
        <f>'3 Statement Model'!G79/'3 Statement Model'!G$91</f>
        <v>1.0504974987182081E-2</v>
      </c>
      <c r="H79" s="77">
        <f>'3 Statement Model'!H79/'3 Statement Model'!H$91</f>
        <v>3.0430060552593667E-2</v>
      </c>
      <c r="I79" s="313">
        <f>'3 Statement Model'!I79/'3 Statement Model'!I$91</f>
        <v>2.4806169088171362E-2</v>
      </c>
      <c r="J79" s="313">
        <f>'3 Statement Model'!J79/'3 Statement Model'!J$91</f>
        <v>2.2196563776516822E-2</v>
      </c>
      <c r="K79" s="313">
        <f>'3 Statement Model'!K79/'3 Statement Model'!K$91</f>
        <v>1.9733549008635175E-2</v>
      </c>
      <c r="L79" s="313">
        <f>'3 Statement Model'!L79/'3 Statement Model'!L$91</f>
        <v>1.7694295290012742E-2</v>
      </c>
      <c r="M79" s="313">
        <f>'3 Statement Model'!M79/'3 Statement Model'!M$91</f>
        <v>1.6081150091847872E-2</v>
      </c>
      <c r="N79" s="313">
        <f>'3 Statement Model'!N79/'3 Statement Model'!N$91</f>
        <v>1.4849143739755115E-2</v>
      </c>
      <c r="O79" s="313">
        <f>'3 Statement Model'!O79/'3 Statement Model'!O$91</f>
        <v>1.3820602738560247E-2</v>
      </c>
      <c r="P79" s="313">
        <f>'3 Statement Model'!P79/'3 Statement Model'!P$91</f>
        <v>1.2985002615089064E-2</v>
      </c>
      <c r="Q79" s="313">
        <f>'3 Statement Model'!Q79/'3 Statement Model'!Q$91</f>
        <v>1.2309101630803364E-2</v>
      </c>
      <c r="R79" s="313">
        <f>'3 Statement Model'!R79/'3 Statement Model'!R$91</f>
        <v>1.1763434808403726E-2</v>
      </c>
      <c r="S79" s="313">
        <f>'3 Statement Model'!S79/'3 Statement Model'!S$91</f>
        <v>1.1341616409257446E-2</v>
      </c>
    </row>
    <row r="80" spans="2:19">
      <c r="B80" s="1" t="s">
        <v>17</v>
      </c>
      <c r="C80" s="5"/>
      <c r="D80" s="80">
        <f>'3 Statement Model'!D80/'3 Statement Model'!D$91</f>
        <v>0.1760689818095913</v>
      </c>
      <c r="E80" s="80">
        <f>'3 Statement Model'!E80/'3 Statement Model'!E$91</f>
        <v>0.2089489824365765</v>
      </c>
      <c r="F80" s="80">
        <f>'3 Statement Model'!F80/'3 Statement Model'!F$91</f>
        <v>0.18796559515999703</v>
      </c>
      <c r="G80" s="80">
        <f>'3 Statement Model'!G80/'3 Statement Model'!G$91</f>
        <v>0.16613250154734252</v>
      </c>
      <c r="H80" s="80">
        <f>'3 Statement Model'!H80/'3 Statement Model'!H$91</f>
        <v>0.14643534246923942</v>
      </c>
      <c r="I80" s="80">
        <f>'3 Statement Model'!I80/'3 Statement Model'!I$91</f>
        <v>0.18737947482971273</v>
      </c>
      <c r="J80" s="80">
        <f>'3 Statement Model'!J80/'3 Statement Model'!J$91</f>
        <v>0.17455743511387611</v>
      </c>
      <c r="K80" s="80">
        <f>'3 Statement Model'!K80/'3 Statement Model'!K$91</f>
        <v>0.17340042679814896</v>
      </c>
      <c r="L80" s="80">
        <f>'3 Statement Model'!L80/'3 Statement Model'!L$91</f>
        <v>0.17076401026512869</v>
      </c>
      <c r="M80" s="80">
        <f>'3 Statement Model'!M80/'3 Statement Model'!M$91</f>
        <v>0.16788887878075395</v>
      </c>
      <c r="N80" s="80">
        <f>'3 Statement Model'!N80/'3 Statement Model'!N$91</f>
        <v>0.16256283936348634</v>
      </c>
      <c r="O80" s="80">
        <f>'3 Statement Model'!O80/'3 Statement Model'!O$91</f>
        <v>0.16020801406767712</v>
      </c>
      <c r="P80" s="80">
        <f>'3 Statement Model'!P80/'3 Statement Model'!P$91</f>
        <v>0.15882298417283777</v>
      </c>
      <c r="Q80" s="80">
        <f>'3 Statement Model'!Q80/'3 Statement Model'!Q$91</f>
        <v>0.15827555222089407</v>
      </c>
      <c r="R80" s="80">
        <f>'3 Statement Model'!R80/'3 Statement Model'!R$91</f>
        <v>0.15873167172321806</v>
      </c>
      <c r="S80" s="80">
        <f>'3 Statement Model'!S80/'3 Statement Model'!S$91</f>
        <v>0.15928255381204917</v>
      </c>
    </row>
    <row r="81" spans="2:19">
      <c r="B81" s="3"/>
      <c r="C81" s="2"/>
      <c r="D81" s="312"/>
      <c r="E81" s="312"/>
      <c r="F81" s="312"/>
      <c r="G81" s="6"/>
      <c r="H81" s="6"/>
      <c r="I81" s="6"/>
      <c r="J81" s="6"/>
      <c r="K81" s="6"/>
      <c r="L81" s="6"/>
      <c r="M81" s="6"/>
      <c r="N81" s="6"/>
      <c r="O81" s="6"/>
      <c r="P81" s="6"/>
      <c r="Q81" s="6"/>
      <c r="R81" s="6"/>
      <c r="S81" s="6"/>
    </row>
    <row r="82" spans="2:19">
      <c r="B82" s="57" t="s">
        <v>614</v>
      </c>
      <c r="C82" s="2"/>
      <c r="D82" s="77">
        <f>'3 Statement Model'!D82/'3 Statement Model'!D$91</f>
        <v>1.2667139144814554E-2</v>
      </c>
      <c r="E82" s="77">
        <f>'3 Statement Model'!E82/'3 Statement Model'!E$91</f>
        <v>2.2327002096944281E-2</v>
      </c>
      <c r="F82" s="77">
        <f>'3 Statement Model'!F82/'3 Statement Model'!F$91</f>
        <v>9.1187404329761655E-3</v>
      </c>
      <c r="G82" s="77">
        <f>'3 Statement Model'!G82/'3 Statement Model'!G$91</f>
        <v>4.5286580097191496E-3</v>
      </c>
      <c r="H82" s="77">
        <f>'3 Statement Model'!H82/'3 Statement Model'!H$91</f>
        <v>5.8505426830044154E-3</v>
      </c>
      <c r="I82" s="77">
        <f>'3 Statement Model'!I82/'3 Statement Model'!I$91</f>
        <v>5.3240876786477334E-3</v>
      </c>
      <c r="J82" s="77">
        <f>'3 Statement Model'!J82/'3 Statement Model'!J$91</f>
        <v>5.4785936105025933E-3</v>
      </c>
      <c r="K82" s="77">
        <f>'3 Statement Model'!K82/'3 Statement Model'!K$91</f>
        <v>5.6986816978393685E-3</v>
      </c>
      <c r="L82" s="77">
        <f>'3 Statement Model'!L82/'3 Statement Model'!L$91</f>
        <v>5.7910875993670476E-3</v>
      </c>
      <c r="M82" s="77">
        <f>'3 Statement Model'!M82/'3 Statement Model'!M$91</f>
        <v>5.7718975295887442E-3</v>
      </c>
      <c r="N82" s="77">
        <f>'3 Statement Model'!N82/'3 Statement Model'!N$91</f>
        <v>5.6494840053844218E-3</v>
      </c>
      <c r="O82" s="77">
        <f>'3 Statement Model'!O82/'3 Statement Model'!O$91</f>
        <v>5.5473659381535144E-3</v>
      </c>
      <c r="P82" s="77">
        <f>'3 Statement Model'!P82/'3 Statement Model'!P$91</f>
        <v>5.4725680713942218E-3</v>
      </c>
      <c r="Q82" s="77">
        <f>'3 Statement Model'!Q82/'3 Statement Model'!Q$91</f>
        <v>5.421154427511129E-3</v>
      </c>
      <c r="R82" s="77">
        <f>'3 Statement Model'!R82/'3 Statement Model'!R$91</f>
        <v>5.4010181285249368E-3</v>
      </c>
      <c r="S82" s="77">
        <f>'3 Statement Model'!S82/'3 Statement Model'!S$91</f>
        <v>5.4156398963499022E-3</v>
      </c>
    </row>
    <row r="83" spans="2:19">
      <c r="B83" s="57" t="str">
        <f>BS!B48</f>
        <v>Deferred Tax Assets</v>
      </c>
      <c r="C83" s="2"/>
      <c r="D83" s="77">
        <f>'3 Statement Model'!D83/'3 Statement Model'!D$91</f>
        <v>2.3659343255374443E-2</v>
      </c>
      <c r="E83" s="77">
        <f>'3 Statement Model'!E83/'3 Statement Model'!E$91</f>
        <v>3.7309446754180763E-2</v>
      </c>
      <c r="F83" s="77">
        <f>'3 Statement Model'!F83/'3 Statement Model'!F$91</f>
        <v>1.7841679422698448E-2</v>
      </c>
      <c r="G83" s="77">
        <f>'3 Statement Model'!G83/'3 Statement Model'!G$91</f>
        <v>6.730480503483822E-3</v>
      </c>
      <c r="H83" s="77">
        <f>'3 Statement Model'!H83/'3 Statement Model'!H$91</f>
        <v>3.9910422312987495E-3</v>
      </c>
      <c r="I83" s="313">
        <f>'3 Statement Model'!I83/'3 Statement Model'!I$91</f>
        <v>3.253443030667619E-3</v>
      </c>
      <c r="J83" s="313">
        <f>'3 Statement Model'!J83/'3 Statement Model'!J$91</f>
        <v>2.9111813060209001E-3</v>
      </c>
      <c r="K83" s="313">
        <f>'3 Statement Model'!K83/'3 Statement Model'!K$91</f>
        <v>2.5881456045986663E-3</v>
      </c>
      <c r="L83" s="313">
        <f>'3 Statement Model'!L83/'3 Statement Model'!L$91</f>
        <v>2.3206881114632653E-3</v>
      </c>
      <c r="M83" s="313">
        <f>'3 Statement Model'!M83/'3 Statement Model'!M$91</f>
        <v>2.1091167082461907E-3</v>
      </c>
      <c r="N83" s="313">
        <f>'3 Statement Model'!N83/'3 Statement Model'!N$91</f>
        <v>1.9475334155697847E-3</v>
      </c>
      <c r="O83" s="313">
        <f>'3 Statement Model'!O83/'3 Statement Model'!O$91</f>
        <v>1.8126355383441958E-3</v>
      </c>
      <c r="P83" s="313">
        <f>'3 Statement Model'!P83/'3 Statement Model'!P$91</f>
        <v>1.7030427435652286E-3</v>
      </c>
      <c r="Q83" s="313">
        <f>'3 Statement Model'!Q83/'3 Statement Model'!Q$91</f>
        <v>1.6143952245174658E-3</v>
      </c>
      <c r="R83" s="313">
        <f>'3 Statement Model'!R83/'3 Statement Model'!R$91</f>
        <v>1.5428285140716685E-3</v>
      </c>
      <c r="S83" s="313">
        <f>'3 Statement Model'!S83/'3 Statement Model'!S$91</f>
        <v>1.4875050932713066E-3</v>
      </c>
    </row>
    <row r="84" spans="2:19">
      <c r="B84" s="57" t="str">
        <f>BS!B49</f>
        <v>Deferred Tax Liability</v>
      </c>
      <c r="C84" s="2"/>
      <c r="D84" s="77">
        <f>'3 Statement Model'!D84/'3 Statement Model'!D$91</f>
        <v>4.3900307110796129E-2</v>
      </c>
      <c r="E84" s="77">
        <f>'3 Statement Model'!E84/'3 Statement Model'!E$91</f>
        <v>5.2489060738657715E-2</v>
      </c>
      <c r="F84" s="77">
        <f>'3 Statement Model'!F84/'3 Statement Model'!F$91</f>
        <v>3.1472410525548514E-2</v>
      </c>
      <c r="G84" s="77">
        <f>'3 Statement Model'!G84/'3 Statement Model'!G$91</f>
        <v>2.1888309443998458E-2</v>
      </c>
      <c r="H84" s="77">
        <f>'3 Statement Model'!H84/'3 Statement Model'!H$91</f>
        <v>2.3372396330368618E-2</v>
      </c>
      <c r="I84" s="313">
        <f>'3 Statement Model'!I84/'3 Statement Model'!I$91</f>
        <v>1.9052857760989996E-2</v>
      </c>
      <c r="J84" s="313">
        <f>'3 Statement Model'!J84/'3 Statement Model'!J$91</f>
        <v>1.7048499948280144E-2</v>
      </c>
      <c r="K84" s="313">
        <f>'3 Statement Model'!K84/'3 Statement Model'!K$91</f>
        <v>1.5156733836839589E-2</v>
      </c>
      <c r="L84" s="313">
        <f>'3 Statement Model'!L84/'3 Statement Model'!L$91</f>
        <v>1.3590445592113795E-2</v>
      </c>
      <c r="M84" s="313">
        <f>'3 Statement Model'!M84/'3 Statement Model'!M$91</f>
        <v>1.2351438234741751E-2</v>
      </c>
      <c r="N84" s="313">
        <f>'3 Statement Model'!N84/'3 Statement Model'!N$91</f>
        <v>1.1405171936885526E-2</v>
      </c>
      <c r="O84" s="313">
        <f>'3 Statement Model'!O84/'3 Statement Model'!O$91</f>
        <v>1.0615181135506342E-2</v>
      </c>
      <c r="P84" s="313">
        <f>'3 Statement Model'!P84/'3 Statement Model'!P$91</f>
        <v>9.9733823055066801E-3</v>
      </c>
      <c r="Q84" s="313">
        <f>'3 Statement Model'!Q84/'3 Statement Model'!Q$91</f>
        <v>9.4542434869194416E-3</v>
      </c>
      <c r="R84" s="313">
        <f>'3 Statement Model'!R84/'3 Statement Model'!R$91</f>
        <v>9.0351335342653966E-3</v>
      </c>
      <c r="S84" s="313">
        <f>'3 Statement Model'!S84/'3 Statement Model'!S$91</f>
        <v>8.7111477575283168E-3</v>
      </c>
    </row>
    <row r="85" spans="2:19">
      <c r="B85" s="57" t="str">
        <f>BS!B50</f>
        <v>Other Long Term Liabilities</v>
      </c>
      <c r="C85" s="2"/>
      <c r="D85" s="77">
        <f>'3 Statement Model'!D85/'3 Statement Model'!D$91</f>
        <v>-9.0465390975667373E-2</v>
      </c>
      <c r="E85" s="77">
        <f>'3 Statement Model'!E85/'3 Statement Model'!E$91</f>
        <v>-0.15928574603136123</v>
      </c>
      <c r="F85" s="77">
        <f>'3 Statement Model'!F85/'3 Statement Model'!F$91</f>
        <v>-5.5887455353888768E-2</v>
      </c>
      <c r="G85" s="77">
        <f>'3 Statement Model'!G85/'3 Statement Model'!G$91</f>
        <v>8.4457327049999066E-3</v>
      </c>
      <c r="H85" s="77">
        <f>'3 Statement Model'!H85/'3 Statement Model'!H$91</f>
        <v>2.5409270781641666E-2</v>
      </c>
      <c r="I85" s="313">
        <f>'3 Statement Model'!I85/'3 Statement Model'!I$91</f>
        <v>2.071328994982272E-2</v>
      </c>
      <c r="J85" s="313">
        <f>'3 Statement Model'!J85/'3 Statement Model'!J$91</f>
        <v>1.8534254916933546E-2</v>
      </c>
      <c r="K85" s="313">
        <f>'3 Statement Model'!K85/'3 Statement Model'!K$91</f>
        <v>1.6477623808095584E-2</v>
      </c>
      <c r="L85" s="313">
        <f>'3 Statement Model'!L85/'3 Statement Model'!L$91</f>
        <v>1.4774835545831323E-2</v>
      </c>
      <c r="M85" s="313">
        <f>'3 Statement Model'!M85/'3 Statement Model'!M$91</f>
        <v>1.342785028172272E-2</v>
      </c>
      <c r="N85" s="313">
        <f>'3 Statement Model'!N85/'3 Statement Model'!N$91</f>
        <v>1.2399118086105738E-2</v>
      </c>
      <c r="O85" s="313">
        <f>'3 Statement Model'!O85/'3 Statement Model'!O$91</f>
        <v>1.1540280596636671E-2</v>
      </c>
      <c r="P85" s="313">
        <f>'3 Statement Model'!P85/'3 Statement Model'!P$91</f>
        <v>1.0842549819343071E-2</v>
      </c>
      <c r="Q85" s="313">
        <f>'3 Statement Model'!Q85/'3 Statement Model'!Q$91</f>
        <v>1.0278168716597296E-2</v>
      </c>
      <c r="R85" s="313">
        <f>'3 Statement Model'!R85/'3 Statement Model'!R$91</f>
        <v>9.8225338675326061E-3</v>
      </c>
      <c r="S85" s="313">
        <f>'3 Statement Model'!S85/'3 Statement Model'!S$91</f>
        <v>9.4703131446700339E-3</v>
      </c>
    </row>
    <row r="86" spans="2:19">
      <c r="B86" s="57" t="str">
        <f>BS!B51</f>
        <v>Long Term Provisions</v>
      </c>
      <c r="C86" s="2"/>
      <c r="D86" s="77">
        <f>'3 Statement Model'!D86/'3 Statement Model'!D$91</f>
        <v>9.6952515946137508E-3</v>
      </c>
      <c r="E86" s="77">
        <f>'3 Statement Model'!E86/'3 Statement Model'!E$91</f>
        <v>2.0087837319143605E-2</v>
      </c>
      <c r="F86" s="77">
        <f>'3 Statement Model'!F86/'3 Statement Model'!F$91</f>
        <v>9.1683067278956198E-3</v>
      </c>
      <c r="G86" s="77">
        <f>'3 Statement Model'!G86/'3 Statement Model'!G$91</f>
        <v>1.7262827622975432E-3</v>
      </c>
      <c r="H86" s="77">
        <f>'3 Statement Model'!H86/'3 Statement Model'!H$91</f>
        <v>5.9854181776539269E-4</v>
      </c>
      <c r="I86" s="313">
        <f>'3 Statement Model'!I86/'3 Statement Model'!I$91</f>
        <v>4.8792310196583787E-4</v>
      </c>
      <c r="J86" s="313">
        <f>'3 Statement Model'!J86/'3 Statement Model'!J$91</f>
        <v>4.3659366395212352E-4</v>
      </c>
      <c r="K86" s="313">
        <f>'3 Statement Model'!K86/'3 Statement Model'!K$91</f>
        <v>3.8814757776038129E-4</v>
      </c>
      <c r="L86" s="313">
        <f>'3 Statement Model'!L86/'3 Statement Model'!L$91</f>
        <v>3.4803662807891323E-4</v>
      </c>
      <c r="M86" s="313">
        <f>'3 Statement Model'!M86/'3 Statement Model'!M$91</f>
        <v>3.1630698831824509E-4</v>
      </c>
      <c r="N86" s="313">
        <f>'3 Statement Model'!N86/'3 Statement Model'!N$91</f>
        <v>2.9207413080533897E-4</v>
      </c>
      <c r="O86" s="313">
        <f>'3 Statement Model'!O86/'3 Statement Model'!O$91</f>
        <v>2.7184331991236024E-4</v>
      </c>
      <c r="P86" s="313">
        <f>'3 Statement Model'!P86/'3 Statement Model'!P$91</f>
        <v>2.5540754529525061E-4</v>
      </c>
      <c r="Q86" s="313">
        <f>'3 Statement Model'!Q86/'3 Statement Model'!Q$91</f>
        <v>2.4211296104476677E-4</v>
      </c>
      <c r="R86" s="313">
        <f>'3 Statement Model'!R86/'3 Statement Model'!R$91</f>
        <v>2.3138000797657095E-4</v>
      </c>
      <c r="S86" s="313">
        <f>'3 Statement Model'!S86/'3 Statement Model'!S$91</f>
        <v>2.230830822785252E-4</v>
      </c>
    </row>
    <row r="87" spans="2:19">
      <c r="B87" s="61" t="s">
        <v>19</v>
      </c>
      <c r="C87" s="305"/>
      <c r="D87" s="80">
        <f>'3 Statement Model'!D87/'3 Statement Model'!D$91</f>
        <v>-5.4334987006849223E-4</v>
      </c>
      <c r="E87" s="80">
        <f>'3 Statement Model'!E87/'3 Statement Model'!E$91</f>
        <v>-2.7072399122434875E-2</v>
      </c>
      <c r="F87" s="80">
        <f>'3 Statement Model'!F87/'3 Statement Model'!F$91</f>
        <v>1.1713681755229985E-2</v>
      </c>
      <c r="G87" s="80">
        <f>'3 Statement Model'!G87/'3 Statement Model'!G$91</f>
        <v>4.3319463424498883E-2</v>
      </c>
      <c r="H87" s="80">
        <f>'3 Statement Model'!H87/'3 Statement Model'!H$91</f>
        <v>5.9221793844078829E-2</v>
      </c>
      <c r="I87" s="80">
        <f>'3 Statement Model'!I87/'3 Statement Model'!I$91</f>
        <v>4.8831601522093898E-2</v>
      </c>
      <c r="J87" s="80">
        <f>'3 Statement Model'!J87/'3 Statement Model'!J$91</f>
        <v>4.4409123445689307E-2</v>
      </c>
      <c r="K87" s="80">
        <f>'3 Statement Model'!K87/'3 Statement Model'!K$91</f>
        <v>4.0309332525133593E-2</v>
      </c>
      <c r="L87" s="80">
        <f>'3 Statement Model'!L87/'3 Statement Model'!L$91</f>
        <v>3.6825093476854344E-2</v>
      </c>
      <c r="M87" s="80">
        <f>'3 Statement Model'!M87/'3 Statement Model'!M$91</f>
        <v>3.3976609742617646E-2</v>
      </c>
      <c r="N87" s="80">
        <f>'3 Statement Model'!N87/'3 Statement Model'!N$91</f>
        <v>3.1693381574750802E-2</v>
      </c>
      <c r="O87" s="80">
        <f>'3 Statement Model'!O87/'3 Statement Model'!O$91</f>
        <v>2.9787306528553079E-2</v>
      </c>
      <c r="P87" s="80">
        <f>'3 Statement Model'!P87/'3 Statement Model'!P$91</f>
        <v>2.8246950485104453E-2</v>
      </c>
      <c r="Q87" s="80">
        <f>'3 Statement Model'!Q87/'3 Statement Model'!Q$91</f>
        <v>2.70100748165901E-2</v>
      </c>
      <c r="R87" s="80">
        <f>'3 Statement Model'!R87/'3 Statement Model'!R$91</f>
        <v>2.6032894052371178E-2</v>
      </c>
      <c r="S87" s="80">
        <f>'3 Statement Model'!S87/'3 Statement Model'!S$91</f>
        <v>2.5307688974098082E-2</v>
      </c>
    </row>
    <row r="88" spans="2:19">
      <c r="B88" s="3"/>
      <c r="C88" s="2"/>
      <c r="D88" s="312"/>
      <c r="E88" s="312"/>
      <c r="F88" s="312"/>
      <c r="G88" s="6"/>
      <c r="H88" s="6"/>
      <c r="I88" s="6"/>
      <c r="J88" s="6"/>
      <c r="K88" s="6"/>
      <c r="L88" s="6"/>
      <c r="M88" s="6"/>
      <c r="N88" s="6"/>
      <c r="O88" s="6"/>
      <c r="P88" s="6"/>
      <c r="Q88" s="6"/>
      <c r="R88" s="6"/>
      <c r="S88" s="6"/>
    </row>
    <row r="89" spans="2:19">
      <c r="B89" t="str">
        <f>BS!B62</f>
        <v>Contingent Liabilities</v>
      </c>
      <c r="D89" s="32">
        <f>'3 Statement Model'!D89/'3 Statement Model'!D$91</f>
        <v>2.27876210725254E-2</v>
      </c>
      <c r="E89" s="32">
        <f>'3 Statement Model'!E89/'3 Statement Model'!E$91</f>
        <v>3.2492535444014821E-2</v>
      </c>
      <c r="F89" s="32">
        <f>'3 Statement Model'!F89/'3 Statement Model'!F$91</f>
        <v>1.9155915154165756E-2</v>
      </c>
      <c r="G89" s="32">
        <f>'3 Statement Model'!G89/'3 Statement Model'!G$91</f>
        <v>9.7375339342946256E-3</v>
      </c>
      <c r="H89" s="32">
        <f>'3 Statement Model'!H89/'3 Statement Model'!H$91</f>
        <v>1.3680955834637555E-2</v>
      </c>
      <c r="I89" s="32">
        <f>'3 Statement Model'!I89/'3 Statement Model'!I$91</f>
        <v>1.1152528044933442E-2</v>
      </c>
      <c r="J89" s="32">
        <f>'3 Statement Model'!J89/'3 Statement Model'!J$91</f>
        <v>9.9792837474771134E-3</v>
      </c>
      <c r="K89" s="32">
        <f>'3 Statement Model'!K89/'3 Statement Model'!K$91</f>
        <v>8.871944634523005E-3</v>
      </c>
      <c r="L89" s="32">
        <f>'3 Statement Model'!L89/'3 Statement Model'!L$91</f>
        <v>7.955122927518021E-3</v>
      </c>
      <c r="M89" s="32">
        <f>'3 Statement Model'!M89/'3 Statement Model'!M$91</f>
        <v>7.2298740187027493E-3</v>
      </c>
      <c r="N89" s="32">
        <f>'3 Statement Model'!N89/'3 Statement Model'!N$91</f>
        <v>6.6759801326934654E-3</v>
      </c>
      <c r="O89" s="32">
        <f>'3 Statement Model'!O89/'3 Statement Model'!O$91</f>
        <v>6.2135615979968094E-3</v>
      </c>
      <c r="P89" s="32">
        <f>'3 Statement Model'!P89/'3 Statement Model'!P$91</f>
        <v>5.8378867496057313E-3</v>
      </c>
      <c r="Q89" s="32">
        <f>'3 Statement Model'!Q89/'3 Statement Model'!Q$91</f>
        <v>5.5340105381661009E-3</v>
      </c>
      <c r="R89" s="32">
        <f>'3 Statement Model'!R89/'3 Statement Model'!R$91</f>
        <v>5.2886858966073383E-3</v>
      </c>
      <c r="S89" s="32">
        <f>'3 Statement Model'!S89/'3 Statement Model'!S$91</f>
        <v>5.0990418806520074E-3</v>
      </c>
    </row>
    <row r="90" spans="2:19">
      <c r="D90" s="32"/>
      <c r="E90" s="32"/>
      <c r="F90" s="32"/>
      <c r="G90" s="32"/>
      <c r="H90" s="32"/>
      <c r="I90" s="32"/>
      <c r="J90" s="32"/>
      <c r="K90" s="32"/>
      <c r="L90" s="32"/>
      <c r="M90" s="32"/>
      <c r="N90" s="32"/>
      <c r="O90" s="32"/>
      <c r="P90" s="32"/>
      <c r="Q90" s="32"/>
      <c r="R90" s="32"/>
      <c r="S90" s="32"/>
    </row>
    <row r="91" spans="2:19" ht="15" thickBot="1">
      <c r="B91" s="73" t="s">
        <v>23</v>
      </c>
      <c r="C91" s="8"/>
      <c r="D91" s="309">
        <f>SUM(D89,D87,D80,D68)</f>
        <v>1</v>
      </c>
      <c r="E91" s="309">
        <f t="shared" ref="E91:N91" si="37">SUM(E89,E87,E80,E68)</f>
        <v>1</v>
      </c>
      <c r="F91" s="309">
        <f t="shared" si="37"/>
        <v>1</v>
      </c>
      <c r="G91" s="309">
        <f t="shared" si="37"/>
        <v>1</v>
      </c>
      <c r="H91" s="309">
        <f t="shared" si="37"/>
        <v>1</v>
      </c>
      <c r="I91" s="309">
        <f t="shared" si="37"/>
        <v>1</v>
      </c>
      <c r="J91" s="309">
        <f t="shared" si="37"/>
        <v>1</v>
      </c>
      <c r="K91" s="309">
        <f t="shared" si="37"/>
        <v>1</v>
      </c>
      <c r="L91" s="309">
        <f t="shared" si="37"/>
        <v>1</v>
      </c>
      <c r="M91" s="309">
        <f t="shared" si="37"/>
        <v>1</v>
      </c>
      <c r="N91" s="309">
        <f t="shared" si="37"/>
        <v>0.99999999999999989</v>
      </c>
      <c r="O91" s="309">
        <f t="shared" ref="O91:S91" si="38">SUM(O89,O87,O80,O68)</f>
        <v>1</v>
      </c>
      <c r="P91" s="309">
        <f t="shared" si="38"/>
        <v>1</v>
      </c>
      <c r="Q91" s="309">
        <f t="shared" si="38"/>
        <v>0.99999999999999989</v>
      </c>
      <c r="R91" s="309">
        <f t="shared" si="38"/>
        <v>1</v>
      </c>
      <c r="S91" s="309">
        <f t="shared" si="38"/>
        <v>0.99999999999999989</v>
      </c>
    </row>
    <row r="93" spans="2:19">
      <c r="B93" t="s">
        <v>69</v>
      </c>
      <c r="D93" s="117">
        <f ca="1">D62-D91</f>
        <v>0</v>
      </c>
      <c r="E93" s="117">
        <f t="shared" ref="E93:N93" ca="1" si="39">E62-E91</f>
        <v>0</v>
      </c>
      <c r="F93" s="117">
        <f t="shared" ca="1" si="39"/>
        <v>0</v>
      </c>
      <c r="G93" s="117">
        <f t="shared" ca="1" si="39"/>
        <v>0</v>
      </c>
      <c r="H93" s="117">
        <f t="shared" ca="1" si="39"/>
        <v>0</v>
      </c>
      <c r="I93" s="117">
        <f t="shared" si="39"/>
        <v>0</v>
      </c>
      <c r="J93" s="117">
        <f t="shared" si="39"/>
        <v>0</v>
      </c>
      <c r="K93" s="117">
        <f t="shared" si="39"/>
        <v>0</v>
      </c>
      <c r="L93" s="117">
        <f t="shared" si="39"/>
        <v>0</v>
      </c>
      <c r="M93" s="117">
        <f t="shared" si="39"/>
        <v>0</v>
      </c>
      <c r="N93" s="117">
        <f t="shared" si="39"/>
        <v>0</v>
      </c>
      <c r="O93" s="117">
        <f t="shared" ref="O93:S93" si="40">O62-O91</f>
        <v>0</v>
      </c>
      <c r="P93" s="117">
        <f t="shared" si="40"/>
        <v>0</v>
      </c>
      <c r="Q93" s="117">
        <f t="shared" si="40"/>
        <v>0</v>
      </c>
      <c r="R93" s="117">
        <f t="shared" si="40"/>
        <v>0</v>
      </c>
      <c r="S93" s="117">
        <f t="shared" si="40"/>
        <v>0</v>
      </c>
    </row>
    <row r="94" spans="2:19">
      <c r="D94" s="117"/>
      <c r="E94" s="117"/>
      <c r="F94" s="117"/>
      <c r="G94" s="117"/>
      <c r="H94" s="117"/>
    </row>
    <row r="95" spans="2:19">
      <c r="D95" s="117"/>
      <c r="E95" s="117"/>
      <c r="F95" s="117"/>
      <c r="G95" s="117"/>
      <c r="H95" s="117"/>
      <c r="I95" s="117"/>
      <c r="J95" s="117"/>
      <c r="K95" s="117"/>
      <c r="L95" s="117"/>
      <c r="M95" s="117"/>
      <c r="N95" s="117"/>
      <c r="O95" s="117"/>
      <c r="P95" s="117"/>
      <c r="Q95" s="117"/>
      <c r="R95" s="117"/>
      <c r="S95" s="117"/>
    </row>
    <row r="98" spans="8:19" hidden="1">
      <c r="I98" s="282">
        <f t="shared" ref="I98:N98" si="41">SUM(I60,I48:I52)</f>
        <v>0.71484398453957287</v>
      </c>
      <c r="J98" s="282">
        <f t="shared" si="41"/>
        <v>0.73034454099814916</v>
      </c>
      <c r="K98" s="282">
        <f t="shared" si="41"/>
        <v>0.78042436884547983</v>
      </c>
      <c r="L98" s="282">
        <f t="shared" si="41"/>
        <v>0.78665450485692767</v>
      </c>
      <c r="M98" s="282">
        <f t="shared" si="41"/>
        <v>0.78031844967082131</v>
      </c>
      <c r="N98" s="282">
        <f t="shared" si="41"/>
        <v>0.75941742770181964</v>
      </c>
      <c r="O98" s="282"/>
      <c r="P98" s="282"/>
      <c r="Q98" s="282"/>
      <c r="R98" s="282"/>
      <c r="S98" s="282"/>
    </row>
    <row r="99" spans="8:19" hidden="1">
      <c r="I99" s="282">
        <f t="shared" ref="I99:N99" si="42">I91-I98</f>
        <v>0.28515601546042713</v>
      </c>
      <c r="J99" s="282">
        <f t="shared" si="42"/>
        <v>0.26965545900185084</v>
      </c>
      <c r="K99" s="282">
        <f t="shared" si="42"/>
        <v>0.21957563115452017</v>
      </c>
      <c r="L99" s="282">
        <f t="shared" si="42"/>
        <v>0.21334549514307233</v>
      </c>
      <c r="M99" s="282">
        <f t="shared" si="42"/>
        <v>0.21968155032917869</v>
      </c>
      <c r="N99" s="282">
        <f t="shared" si="42"/>
        <v>0.24058257229818025</v>
      </c>
      <c r="O99" s="282"/>
      <c r="P99" s="282"/>
      <c r="Q99" s="282"/>
      <c r="R99" s="282"/>
      <c r="S99" s="282"/>
    </row>
    <row r="100" spans="8:19" hidden="1">
      <c r="I100" s="282">
        <v>1415.1929501309714</v>
      </c>
      <c r="J100" s="282">
        <v>-4433.8867222742301</v>
      </c>
      <c r="K100" s="282">
        <v>-11403.399548672678</v>
      </c>
      <c r="L100" s="282">
        <v>-17235.563585705691</v>
      </c>
      <c r="M100" s="282">
        <v>-22122.797350799483</v>
      </c>
      <c r="N100" s="282">
        <v>-27303.685526084097</v>
      </c>
      <c r="O100" s="282"/>
      <c r="P100" s="282"/>
      <c r="Q100" s="282"/>
      <c r="R100" s="282"/>
      <c r="S100" s="282"/>
    </row>
    <row r="112" spans="8:19">
      <c r="H112" s="283" t="s">
        <v>653</v>
      </c>
    </row>
  </sheetData>
  <sheetProtection algorithmName="SHA-512" hashValue="67j6ucwXbFoWescOZCfuB9FZmQUZKT0Quzcta5/e0R5cFlC++BXjoTMgwM0pXCDYmiCQkrK2KeDZVjspGpGUmg==" saltValue="2wlK7kQLY7/t51UOqHaMWw==" spinCount="100000" sheet="1" objects="1" scenarios="1"/>
  <mergeCells count="3">
    <mergeCell ref="D5:H5"/>
    <mergeCell ref="I5:N5"/>
    <mergeCell ref="O5:S5"/>
  </mergeCells>
  <pageMargins left="0.7" right="0.7" top="0.75" bottom="0.75" header="0.3" footer="0.3"/>
  <pageSetup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3567-4FA6-4A87-99DC-3947FEE7A276}">
  <dimension ref="A2:R86"/>
  <sheetViews>
    <sheetView showGridLines="0" zoomScale="120" zoomScaleNormal="120" workbookViewId="0">
      <pane xSplit="2" ySplit="6" topLeftCell="C50" activePane="bottomRight" state="frozen"/>
      <selection pane="topRight" activeCell="C1" sqref="C1"/>
      <selection pane="bottomLeft" activeCell="A10" sqref="A10"/>
      <selection pane="bottomRight" activeCell="C5" sqref="C5:G5"/>
    </sheetView>
  </sheetViews>
  <sheetFormatPr defaultRowHeight="14.4"/>
  <cols>
    <col min="1" max="1" width="2.5546875" customWidth="1"/>
    <col min="2" max="2" width="40.5546875" customWidth="1"/>
    <col min="3" max="10" width="11.88671875" customWidth="1"/>
    <col min="11" max="11" width="9.6640625" bestFit="1" customWidth="1"/>
  </cols>
  <sheetData>
    <row r="2" spans="1:18" ht="21">
      <c r="B2" s="10" t="str">
        <f>'Input Sheet'!C4</f>
        <v>Eicher Motors Ltd.</v>
      </c>
    </row>
    <row r="3" spans="1:18" ht="18">
      <c r="B3" s="15" t="s">
        <v>85</v>
      </c>
    </row>
    <row r="4" spans="1:18" ht="15" customHeight="1">
      <c r="B4" s="15"/>
    </row>
    <row r="5" spans="1:18">
      <c r="C5" s="430" t="s">
        <v>27</v>
      </c>
      <c r="D5" s="430"/>
      <c r="E5" s="430"/>
      <c r="F5" s="430"/>
      <c r="G5" s="430"/>
      <c r="H5" s="424" t="s">
        <v>28</v>
      </c>
      <c r="I5" s="424"/>
      <c r="J5" s="424"/>
      <c r="K5" s="424"/>
      <c r="L5" s="424"/>
      <c r="M5" s="424"/>
      <c r="N5" s="431" t="s">
        <v>983</v>
      </c>
      <c r="O5" s="431"/>
      <c r="P5" s="431"/>
      <c r="Q5" s="431"/>
      <c r="R5" s="431"/>
    </row>
    <row r="6" spans="1:18">
      <c r="B6" s="12" t="s">
        <v>26</v>
      </c>
      <c r="C6" s="401">
        <f>'3 Statement Model'!D6</f>
        <v>2020</v>
      </c>
      <c r="D6" s="401">
        <f>'3 Statement Model'!E6</f>
        <v>2021</v>
      </c>
      <c r="E6" s="401">
        <f>'3 Statement Model'!F6</f>
        <v>2022</v>
      </c>
      <c r="F6" s="401">
        <f>'3 Statement Model'!G6</f>
        <v>2023</v>
      </c>
      <c r="G6" s="401">
        <f>'3 Statement Model'!H6</f>
        <v>2024</v>
      </c>
      <c r="H6" s="401">
        <f>'3 Statement Model'!I6</f>
        <v>2025</v>
      </c>
      <c r="I6" s="401">
        <f>'3 Statement Model'!J6</f>
        <v>2026</v>
      </c>
      <c r="J6" s="401">
        <f>'3 Statement Model'!K6</f>
        <v>2027</v>
      </c>
      <c r="K6" s="401">
        <f>'3 Statement Model'!L6</f>
        <v>2028</v>
      </c>
      <c r="L6" s="401">
        <f>'3 Statement Model'!M6</f>
        <v>2029</v>
      </c>
      <c r="M6" s="401">
        <f>'3 Statement Model'!N6</f>
        <v>2030</v>
      </c>
      <c r="N6" s="401">
        <f>'3 Statement Model'!O6</f>
        <v>2031</v>
      </c>
      <c r="O6" s="401">
        <f>'3 Statement Model'!P6</f>
        <v>2032</v>
      </c>
      <c r="P6" s="401">
        <f>'3 Statement Model'!Q6</f>
        <v>2033</v>
      </c>
      <c r="Q6" s="401">
        <f>'3 Statement Model'!R6</f>
        <v>2034</v>
      </c>
      <c r="R6" s="401">
        <f>'3 Statement Model'!S6</f>
        <v>2035</v>
      </c>
    </row>
    <row r="7" spans="1:18">
      <c r="B7" s="66"/>
      <c r="C7" s="67"/>
      <c r="D7" s="68"/>
      <c r="E7" s="68"/>
      <c r="F7" s="68"/>
      <c r="G7" s="68"/>
      <c r="H7" s="68"/>
      <c r="I7" s="68"/>
      <c r="J7" s="68"/>
      <c r="K7" s="68"/>
      <c r="L7" s="68"/>
      <c r="M7" s="68"/>
      <c r="N7" s="68"/>
      <c r="O7" s="68"/>
      <c r="P7" s="68"/>
      <c r="Q7" s="68"/>
      <c r="R7" s="68"/>
    </row>
    <row r="8" spans="1:18" ht="15.9" customHeight="1">
      <c r="A8" t="s">
        <v>29</v>
      </c>
      <c r="B8" s="16" t="s">
        <v>86</v>
      </c>
      <c r="C8" s="70"/>
      <c r="D8" s="70"/>
      <c r="E8" s="70"/>
      <c r="F8" s="70"/>
      <c r="G8" s="70"/>
      <c r="H8" s="70"/>
      <c r="I8" s="70"/>
      <c r="J8" s="70"/>
      <c r="K8" s="70"/>
      <c r="L8" s="70"/>
      <c r="M8" s="70"/>
      <c r="N8" s="70"/>
      <c r="O8" s="70"/>
      <c r="P8" s="70"/>
      <c r="Q8" s="70"/>
      <c r="R8" s="70"/>
    </row>
    <row r="10" spans="1:18">
      <c r="B10" t="s">
        <v>87</v>
      </c>
      <c r="C10" s="402">
        <f>'3 Statement Model'!D53</f>
        <v>6375</v>
      </c>
      <c r="D10" s="402">
        <f>'3 Statement Model'!E53</f>
        <v>8808</v>
      </c>
      <c r="E10" s="402">
        <f>'3 Statement Model'!F53</f>
        <v>5619</v>
      </c>
      <c r="F10" s="402">
        <f>'3 Statement Model'!G53</f>
        <v>3683</v>
      </c>
      <c r="G10" s="402">
        <f>'3 Statement Model'!H53</f>
        <v>4151</v>
      </c>
      <c r="H10" s="402">
        <f>'3 Statement Model'!I53</f>
        <v>13067.950814371408</v>
      </c>
      <c r="I10" s="402">
        <f>'3 Statement Model'!J53</f>
        <v>14414.37921523419</v>
      </c>
      <c r="J10" s="402">
        <f>'3 Statement Model'!K53</f>
        <v>14651.893925598946</v>
      </c>
      <c r="K10" s="402">
        <f>'3 Statement Model'!L53</f>
        <v>16138.918224321471</v>
      </c>
      <c r="L10" s="402">
        <f>'3 Statement Model'!M53</f>
        <v>17973.032449859194</v>
      </c>
      <c r="M10" s="402">
        <f>'3 Statement Model'!N53</f>
        <v>20136.160543453138</v>
      </c>
      <c r="N10" s="402">
        <f>'3 Statement Model'!O53</f>
        <v>22237.037820317088</v>
      </c>
      <c r="O10" s="402">
        <f>'3 Statement Model'!P53</f>
        <v>24146.047050237856</v>
      </c>
      <c r="P10" s="402">
        <f>'3 Statement Model'!Q53</f>
        <v>25829.562067035367</v>
      </c>
      <c r="Q10" s="402">
        <f>'3 Statement Model'!R53</f>
        <v>27206.168435824628</v>
      </c>
      <c r="R10" s="402">
        <f>'3 Statement Model'!S53</f>
        <v>28179.927828457003</v>
      </c>
    </row>
    <row r="11" spans="1:18">
      <c r="B11" t="s">
        <v>88</v>
      </c>
      <c r="C11" s="402">
        <f>'3 Statement Model'!D80</f>
        <v>2192.0588235294117</v>
      </c>
      <c r="D11" s="402">
        <f>'3 Statement Model'!E80</f>
        <v>3042.0882352941171</v>
      </c>
      <c r="E11" s="402">
        <f>'3 Statement Model'!F80</f>
        <v>3033.7647058823522</v>
      </c>
      <c r="F11" s="402">
        <f>'3 Statement Model'!G80</f>
        <v>3189.4117647058815</v>
      </c>
      <c r="G11" s="402">
        <f>'3 Statement Model'!H80</f>
        <v>3384.8529411764694</v>
      </c>
      <c r="H11" s="402">
        <f>'3 Statement Model'!I80</f>
        <v>5313.2350885505521</v>
      </c>
      <c r="I11" s="402">
        <f>'3 Statement Model'!J80</f>
        <v>5531.5815473845259</v>
      </c>
      <c r="J11" s="402">
        <f>'3 Statement Model'!K80</f>
        <v>6180.7571200636057</v>
      </c>
      <c r="K11" s="402">
        <f>'3 Statement Model'!L80</f>
        <v>6788.2806466889188</v>
      </c>
      <c r="L11" s="402">
        <f>'3 Statement Model'!M80</f>
        <v>7343.4735962162795</v>
      </c>
      <c r="M11" s="402">
        <f>'3 Statement Model'!N80</f>
        <v>7700.4584041461194</v>
      </c>
      <c r="N11" s="402">
        <f>'3 Statement Model'!O80</f>
        <v>8153.6857162612514</v>
      </c>
      <c r="O11" s="402">
        <f>'3 Statement Model'!P80</f>
        <v>8603.3585896355034</v>
      </c>
      <c r="P11" s="402">
        <f>'3 Statement Model'!Q80</f>
        <v>9044.4923194515868</v>
      </c>
      <c r="Q11" s="402">
        <f>'3 Statement Model'!R80</f>
        <v>9491.3099160187357</v>
      </c>
      <c r="R11" s="402">
        <f>'3 Statement Model'!S80</f>
        <v>9878.47647294132</v>
      </c>
    </row>
    <row r="12" spans="1:18">
      <c r="B12" s="24" t="s">
        <v>89</v>
      </c>
      <c r="C12" s="79">
        <f>C10/C11</f>
        <v>2.9082248758889038</v>
      </c>
      <c r="D12" s="79">
        <f t="shared" ref="D12:J12" si="0">D10/D11</f>
        <v>2.8953795283812402</v>
      </c>
      <c r="E12" s="79">
        <f t="shared" si="0"/>
        <v>1.8521541862178621</v>
      </c>
      <c r="F12" s="79">
        <f t="shared" si="0"/>
        <v>1.1547583917373665</v>
      </c>
      <c r="G12" s="79">
        <f t="shared" si="0"/>
        <v>1.226345744449755</v>
      </c>
      <c r="H12" s="79">
        <f t="shared" si="0"/>
        <v>2.4595092437244932</v>
      </c>
      <c r="I12" s="79">
        <f t="shared" si="0"/>
        <v>2.6058332669884763</v>
      </c>
      <c r="J12" s="79">
        <f t="shared" si="0"/>
        <v>2.3705662010301038</v>
      </c>
      <c r="K12" s="79">
        <f t="shared" ref="K12:O12" si="1">K10/K11</f>
        <v>2.3774677365753081</v>
      </c>
      <c r="L12" s="79">
        <f t="shared" si="1"/>
        <v>2.4474837710480486</v>
      </c>
      <c r="M12" s="79">
        <f t="shared" si="1"/>
        <v>2.6149301102141305</v>
      </c>
      <c r="N12" s="79">
        <f t="shared" si="1"/>
        <v>2.7272375455885909</v>
      </c>
      <c r="O12" s="79">
        <f t="shared" si="1"/>
        <v>2.806583824057582</v>
      </c>
      <c r="P12" s="79">
        <f t="shared" ref="P12:R12" si="2">P10/P11</f>
        <v>2.8558332689923214</v>
      </c>
      <c r="Q12" s="79">
        <f t="shared" si="2"/>
        <v>2.8664292575578059</v>
      </c>
      <c r="R12" s="79">
        <f t="shared" si="2"/>
        <v>2.8526593048681339</v>
      </c>
    </row>
    <row r="14" spans="1:18">
      <c r="B14" t="s">
        <v>87</v>
      </c>
      <c r="C14" s="403">
        <f>C10</f>
        <v>6375</v>
      </c>
      <c r="D14" s="403">
        <f t="shared" ref="D14:J14" si="3">D10</f>
        <v>8808</v>
      </c>
      <c r="E14" s="403">
        <f t="shared" si="3"/>
        <v>5619</v>
      </c>
      <c r="F14" s="403">
        <f t="shared" si="3"/>
        <v>3683</v>
      </c>
      <c r="G14" s="403">
        <f t="shared" si="3"/>
        <v>4151</v>
      </c>
      <c r="H14" s="403">
        <f t="shared" si="3"/>
        <v>13067.950814371408</v>
      </c>
      <c r="I14" s="403">
        <f t="shared" si="3"/>
        <v>14414.37921523419</v>
      </c>
      <c r="J14" s="403">
        <f t="shared" si="3"/>
        <v>14651.893925598946</v>
      </c>
      <c r="K14" s="403">
        <f t="shared" ref="K14:O14" si="4">K10</f>
        <v>16138.918224321471</v>
      </c>
      <c r="L14" s="403">
        <f t="shared" si="4"/>
        <v>17973.032449859194</v>
      </c>
      <c r="M14" s="403">
        <f t="shared" si="4"/>
        <v>20136.160543453138</v>
      </c>
      <c r="N14" s="403">
        <f t="shared" si="4"/>
        <v>22237.037820317088</v>
      </c>
      <c r="O14" s="403">
        <f t="shared" si="4"/>
        <v>24146.047050237856</v>
      </c>
      <c r="P14" s="403">
        <f t="shared" ref="P14:R14" si="5">P10</f>
        <v>25829.562067035367</v>
      </c>
      <c r="Q14" s="403">
        <f t="shared" si="5"/>
        <v>27206.168435824628</v>
      </c>
      <c r="R14" s="403">
        <f t="shared" si="5"/>
        <v>28179.927828457003</v>
      </c>
    </row>
    <row r="15" spans="1:18">
      <c r="B15" t="s">
        <v>7</v>
      </c>
      <c r="C15" s="402">
        <f>'3 Statement Model'!D48</f>
        <v>572</v>
      </c>
      <c r="D15" s="402">
        <f>'3 Statement Model'!E48</f>
        <v>875</v>
      </c>
      <c r="E15" s="402">
        <f>'3 Statement Model'!F48</f>
        <v>1132</v>
      </c>
      <c r="F15" s="402">
        <f>'3 Statement Model'!G48</f>
        <v>1278</v>
      </c>
      <c r="G15" s="402">
        <f>'3 Statement Model'!H48</f>
        <v>1410</v>
      </c>
      <c r="H15" s="402">
        <f>'3 Statement Model'!I48</f>
        <v>1564</v>
      </c>
      <c r="I15" s="402">
        <f>'3 Statement Model'!J48</f>
        <v>1997.7285667068493</v>
      </c>
      <c r="J15" s="402">
        <f>'3 Statement Model'!K48</f>
        <v>2295.6041654926025</v>
      </c>
      <c r="K15" s="402">
        <f>'3 Statement Model'!L48</f>
        <v>2524.324019910558</v>
      </c>
      <c r="L15" s="402">
        <f>'3 Statement Model'!M48</f>
        <v>2734.2983726370639</v>
      </c>
      <c r="M15" s="402">
        <f>'3 Statement Model'!N48</f>
        <v>2772.3407847781014</v>
      </c>
      <c r="N15" s="402">
        <f>'3 Statement Model'!O48</f>
        <v>2924.8195279408969</v>
      </c>
      <c r="O15" s="402">
        <f>'3 Statement Model'!P48</f>
        <v>3071.0605043379419</v>
      </c>
      <c r="P15" s="402">
        <f>'3 Statement Model'!Q48</f>
        <v>3209.2582270331491</v>
      </c>
      <c r="Q15" s="402">
        <f>'3 Statement Model'!R48</f>
        <v>3345.6517016820571</v>
      </c>
      <c r="R15" s="402">
        <f>'3 Statement Model'!S48</f>
        <v>3479.47776974934</v>
      </c>
    </row>
    <row r="16" spans="1:18">
      <c r="B16" t="s">
        <v>88</v>
      </c>
      <c r="C16" s="403">
        <f>C11</f>
        <v>2192.0588235294117</v>
      </c>
      <c r="D16" s="403">
        <f t="shared" ref="D16:R16" si="6">D11</f>
        <v>3042.0882352941171</v>
      </c>
      <c r="E16" s="403">
        <f t="shared" si="6"/>
        <v>3033.7647058823522</v>
      </c>
      <c r="F16" s="403">
        <f t="shared" si="6"/>
        <v>3189.4117647058815</v>
      </c>
      <c r="G16" s="403">
        <f t="shared" si="6"/>
        <v>3384.8529411764694</v>
      </c>
      <c r="H16" s="403">
        <f t="shared" si="6"/>
        <v>5313.2350885505521</v>
      </c>
      <c r="I16" s="403">
        <f t="shared" si="6"/>
        <v>5531.5815473845259</v>
      </c>
      <c r="J16" s="403">
        <f t="shared" si="6"/>
        <v>6180.7571200636057</v>
      </c>
      <c r="K16" s="403">
        <f t="shared" si="6"/>
        <v>6788.2806466889188</v>
      </c>
      <c r="L16" s="403">
        <f t="shared" si="6"/>
        <v>7343.4735962162795</v>
      </c>
      <c r="M16" s="403">
        <f t="shared" si="6"/>
        <v>7700.4584041461194</v>
      </c>
      <c r="N16" s="403">
        <f t="shared" si="6"/>
        <v>8153.6857162612514</v>
      </c>
      <c r="O16" s="403">
        <f t="shared" si="6"/>
        <v>8603.3585896355034</v>
      </c>
      <c r="P16" s="403">
        <f t="shared" si="6"/>
        <v>9044.4923194515868</v>
      </c>
      <c r="Q16" s="403">
        <f t="shared" si="6"/>
        <v>9491.3099160187357</v>
      </c>
      <c r="R16" s="403">
        <f t="shared" si="6"/>
        <v>9878.47647294132</v>
      </c>
    </row>
    <row r="17" spans="1:18">
      <c r="B17" s="24" t="s">
        <v>90</v>
      </c>
      <c r="C17" s="79">
        <f>(C14-C15)/C16</f>
        <v>2.6472829732993426</v>
      </c>
      <c r="D17" s="79">
        <f t="shared" ref="D17:R17" si="7">(D14-D15)/D16</f>
        <v>2.6077481606094888</v>
      </c>
      <c r="E17" s="79">
        <f t="shared" si="7"/>
        <v>1.4790204366541284</v>
      </c>
      <c r="F17" s="79">
        <f t="shared" si="7"/>
        <v>0.75405754334194042</v>
      </c>
      <c r="G17" s="79">
        <f t="shared" si="7"/>
        <v>0.80978407264196062</v>
      </c>
      <c r="H17" s="79">
        <f t="shared" si="7"/>
        <v>2.1651499741016882</v>
      </c>
      <c r="I17" s="79">
        <f t="shared" si="7"/>
        <v>2.2446836482774537</v>
      </c>
      <c r="J17" s="79">
        <f t="shared" si="7"/>
        <v>1.9991547184399288</v>
      </c>
      <c r="K17" s="79">
        <f t="shared" si="7"/>
        <v>2.0056027310909172</v>
      </c>
      <c r="L17" s="79">
        <f t="shared" si="7"/>
        <v>2.0751397656109063</v>
      </c>
      <c r="M17" s="79">
        <f t="shared" si="7"/>
        <v>2.2549072856917092</v>
      </c>
      <c r="N17" s="79">
        <f t="shared" si="7"/>
        <v>2.3685262057453342</v>
      </c>
      <c r="O17" s="79">
        <f t="shared" si="7"/>
        <v>2.4496231705707379</v>
      </c>
      <c r="P17" s="79">
        <f t="shared" si="7"/>
        <v>2.5010031565125819</v>
      </c>
      <c r="Q17" s="79">
        <f t="shared" si="7"/>
        <v>2.5139329497472778</v>
      </c>
      <c r="R17" s="79">
        <f t="shared" si="7"/>
        <v>2.5004311268408674</v>
      </c>
    </row>
    <row r="19" spans="1:18">
      <c r="B19" t="s">
        <v>50</v>
      </c>
      <c r="C19" s="404">
        <f>'3 Statement Model'!D97</f>
        <v>-41.789431545236184</v>
      </c>
      <c r="D19" s="404">
        <f>'3 Statement Model'!E97</f>
        <v>-62.475547730829419</v>
      </c>
      <c r="E19" s="404">
        <f>'3 Statement Model'!F97</f>
        <v>-69.372061786433846</v>
      </c>
      <c r="F19" s="404">
        <f>'3 Statement Model'!G97</f>
        <v>-56.803458353628834</v>
      </c>
      <c r="G19" s="404">
        <f>'3 Statement Model'!H97</f>
        <v>-57.304309096982522</v>
      </c>
      <c r="H19" s="404">
        <f>'3 Statement Model'!I97</f>
        <v>-54.565000682625964</v>
      </c>
      <c r="I19" s="404">
        <f>'3 Statement Model'!J97</f>
        <v>-60.000000000000007</v>
      </c>
      <c r="J19" s="404">
        <f>'3 Statement Model'!K97</f>
        <v>-60</v>
      </c>
      <c r="K19" s="404">
        <f>'3 Statement Model'!L97</f>
        <v>-58.75</v>
      </c>
      <c r="L19" s="404">
        <f>'3 Statement Model'!M97</f>
        <v>-57.500000000000007</v>
      </c>
      <c r="M19" s="404">
        <f>'3 Statement Model'!N97</f>
        <v>-55</v>
      </c>
      <c r="N19" s="404">
        <f>'3 Statement Model'!O97</f>
        <v>-55</v>
      </c>
      <c r="O19" s="404">
        <f>'3 Statement Model'!P97</f>
        <v>-55</v>
      </c>
      <c r="P19" s="404">
        <f>'3 Statement Model'!Q97</f>
        <v>-55.000000000000007</v>
      </c>
      <c r="Q19" s="404">
        <f>'3 Statement Model'!R97</f>
        <v>-55</v>
      </c>
      <c r="R19" s="404">
        <f>'3 Statement Model'!S97</f>
        <v>-55.000000000000007</v>
      </c>
    </row>
    <row r="20" spans="1:18">
      <c r="B20" t="s">
        <v>49</v>
      </c>
      <c r="C20" s="404">
        <f>'3 Statement Model'!D96</f>
        <v>3.4689753113393049</v>
      </c>
      <c r="D20" s="404">
        <f>'3 Statement Model'!E96</f>
        <v>6.6135321100917439</v>
      </c>
      <c r="E20" s="404">
        <f>'3 Statement Model'!F96</f>
        <v>10.704020198096718</v>
      </c>
      <c r="F20" s="404">
        <f>'3 Statement Model'!G96</f>
        <v>9.3259243872039885</v>
      </c>
      <c r="G20" s="404">
        <f>'3 Statement Model'!H96</f>
        <v>8.2553217223028543</v>
      </c>
      <c r="H20" s="404">
        <f>'3 Statement Model'!I96</f>
        <v>11.000000000000002</v>
      </c>
      <c r="I20" s="404">
        <f>'3 Statement Model'!J96</f>
        <v>10</v>
      </c>
      <c r="J20" s="404">
        <f>'3 Statement Model'!K96</f>
        <v>10</v>
      </c>
      <c r="K20" s="404">
        <f>'3 Statement Model'!L96</f>
        <v>10</v>
      </c>
      <c r="L20" s="404">
        <f>'3 Statement Model'!M96</f>
        <v>10</v>
      </c>
      <c r="M20" s="404">
        <f>'3 Statement Model'!N96</f>
        <v>9.9999999999999982</v>
      </c>
      <c r="N20" s="404">
        <f>'3 Statement Model'!O96</f>
        <v>9.5</v>
      </c>
      <c r="O20" s="404">
        <f>'3 Statement Model'!P96</f>
        <v>9.5</v>
      </c>
      <c r="P20" s="404">
        <f>'3 Statement Model'!Q96</f>
        <v>9.0000000000000018</v>
      </c>
      <c r="Q20" s="404">
        <f>'3 Statement Model'!R96</f>
        <v>8</v>
      </c>
      <c r="R20" s="404">
        <f>'3 Statement Model'!S96</f>
        <v>8</v>
      </c>
    </row>
    <row r="21" spans="1:18">
      <c r="B21" t="s">
        <v>71</v>
      </c>
      <c r="C21" s="404">
        <f>'3 Statement Model'!D98</f>
        <v>-78.122638633782842</v>
      </c>
      <c r="D21" s="404">
        <f>'3 Statement Model'!E98</f>
        <v>-123.64311066106151</v>
      </c>
      <c r="E21" s="404">
        <f>'3 Statement Model'!F98</f>
        <v>-111.47050044553305</v>
      </c>
      <c r="F21" s="404">
        <f>'3 Statement Model'!G98</f>
        <v>-75.145664403121216</v>
      </c>
      <c r="G21" s="404">
        <f>'3 Statement Model'!H98</f>
        <v>-77.49862600275236</v>
      </c>
      <c r="H21" s="404">
        <f>'3 Statement Model'!I98</f>
        <v>-90</v>
      </c>
      <c r="I21" s="404">
        <f>'3 Statement Model'!J98</f>
        <v>-78.000000000000014</v>
      </c>
      <c r="J21" s="404">
        <f>'3 Statement Model'!K98</f>
        <v>-78</v>
      </c>
      <c r="K21" s="404">
        <f>'3 Statement Model'!L98</f>
        <v>-78</v>
      </c>
      <c r="L21" s="404">
        <f>'3 Statement Model'!M98</f>
        <v>-78</v>
      </c>
      <c r="M21" s="404">
        <f>'3 Statement Model'!N98</f>
        <v>-78</v>
      </c>
      <c r="N21" s="404">
        <f>'3 Statement Model'!O98</f>
        <v>-80</v>
      </c>
      <c r="O21" s="404">
        <f>'3 Statement Model'!P98</f>
        <v>-82</v>
      </c>
      <c r="P21" s="404">
        <f>'3 Statement Model'!Q98</f>
        <v>-84</v>
      </c>
      <c r="Q21" s="404">
        <f>'3 Statement Model'!R98</f>
        <v>-86</v>
      </c>
      <c r="R21" s="404">
        <f>'3 Statement Model'!S98</f>
        <v>-87.000000000000014</v>
      </c>
    </row>
    <row r="22" spans="1:18">
      <c r="B22" s="24" t="s">
        <v>91</v>
      </c>
      <c r="C22" s="405">
        <f>C19+C20-C21</f>
        <v>39.802182399885965</v>
      </c>
      <c r="D22" s="405">
        <f t="shared" ref="D22:R22" si="8">D19+D20-D21</f>
        <v>67.781095040323834</v>
      </c>
      <c r="E22" s="405">
        <f t="shared" si="8"/>
        <v>52.802458857195916</v>
      </c>
      <c r="F22" s="405">
        <f t="shared" si="8"/>
        <v>27.668130436696373</v>
      </c>
      <c r="G22" s="405">
        <f t="shared" si="8"/>
        <v>28.449638628072691</v>
      </c>
      <c r="H22" s="405">
        <f t="shared" si="8"/>
        <v>46.434999317374036</v>
      </c>
      <c r="I22" s="405">
        <f t="shared" si="8"/>
        <v>28.000000000000007</v>
      </c>
      <c r="J22" s="405">
        <f t="shared" si="8"/>
        <v>28</v>
      </c>
      <c r="K22" s="405">
        <f t="shared" si="8"/>
        <v>29.25</v>
      </c>
      <c r="L22" s="405">
        <f t="shared" si="8"/>
        <v>30.499999999999993</v>
      </c>
      <c r="M22" s="405">
        <f t="shared" si="8"/>
        <v>33</v>
      </c>
      <c r="N22" s="405">
        <f t="shared" si="8"/>
        <v>34.5</v>
      </c>
      <c r="O22" s="405">
        <f t="shared" si="8"/>
        <v>36.5</v>
      </c>
      <c r="P22" s="405">
        <f t="shared" si="8"/>
        <v>37.999999999999993</v>
      </c>
      <c r="Q22" s="405">
        <f t="shared" si="8"/>
        <v>39</v>
      </c>
      <c r="R22" s="405">
        <f t="shared" si="8"/>
        <v>40.000000000000007</v>
      </c>
    </row>
    <row r="24" spans="1:18" ht="18">
      <c r="A24" t="s">
        <v>29</v>
      </c>
      <c r="B24" s="16" t="s">
        <v>92</v>
      </c>
      <c r="C24" s="70"/>
      <c r="D24" s="70"/>
      <c r="E24" s="70"/>
      <c r="F24" s="70"/>
      <c r="G24" s="70"/>
      <c r="H24" s="70"/>
      <c r="I24" s="70"/>
      <c r="J24" s="70"/>
      <c r="K24" s="70"/>
      <c r="L24" s="70"/>
      <c r="M24" s="70"/>
      <c r="N24" s="70"/>
      <c r="O24" s="70"/>
      <c r="P24" s="70"/>
      <c r="Q24" s="70"/>
      <c r="R24" s="70"/>
    </row>
    <row r="26" spans="1:18">
      <c r="B26" t="s">
        <v>94</v>
      </c>
      <c r="C26" s="402">
        <f>'3 Statement Model'!D82+'3 Statement Model'!D71</f>
        <v>459.41176470588243</v>
      </c>
      <c r="D26" s="402">
        <f>'3 Statement Model'!E82+'3 Statement Model'!E71</f>
        <v>807.11764705882365</v>
      </c>
      <c r="E26" s="402">
        <f>'3 Statement Model'!F82+'3 Statement Model'!F71</f>
        <v>353.35294117647061</v>
      </c>
      <c r="F26" s="402">
        <f>'3 Statement Model'!G82+'3 Statement Model'!G71</f>
        <v>243.88235294117646</v>
      </c>
      <c r="G26" s="402">
        <f>'3 Statement Model'!H82+'3 Statement Model'!H71</f>
        <v>219.47058823529414</v>
      </c>
      <c r="H26" s="402">
        <f>'3 Statement Model'!I82+'3 Statement Model'!I71</f>
        <v>1490.7997728</v>
      </c>
      <c r="I26" s="402">
        <f>'3 Statement Model'!J82+'3 Statement Model'!J71</f>
        <v>1714.4197387199997</v>
      </c>
      <c r="J26" s="402">
        <f>'3 Statement Model'!K82+'3 Statement Model'!K71</f>
        <v>2005.8710943023996</v>
      </c>
      <c r="K26" s="402">
        <f>'3 Statement Model'!L82+'3 Statement Model'!L71</f>
        <v>2273.3205735427191</v>
      </c>
      <c r="L26" s="402">
        <f>'3 Statement Model'!M82+'3 Statement Model'!M71</f>
        <v>2493.0748956518487</v>
      </c>
      <c r="M26" s="402">
        <f>'3 Statement Model'!N82+'3 Statement Model'!N71</f>
        <v>2642.6593893909603</v>
      </c>
      <c r="N26" s="402">
        <f>'3 Statement Model'!O82+'3 Statement Model'!O71</f>
        <v>2788.005655807463</v>
      </c>
      <c r="O26" s="402">
        <f>'3 Statement Model'!P82+'3 Statement Model'!P71</f>
        <v>2927.4059385978362</v>
      </c>
      <c r="P26" s="402">
        <f>'3 Statement Model'!Q82+'3 Statement Model'!Q71</f>
        <v>3059.1392058347383</v>
      </c>
      <c r="Q26" s="402">
        <f>'3 Statement Model'!R82+'3 Statement Model'!R71</f>
        <v>3189.152622082715</v>
      </c>
      <c r="R26" s="402">
        <f>'3 Statement Model'!S82+'3 Statement Model'!S71</f>
        <v>3316.7187269660235</v>
      </c>
    </row>
    <row r="27" spans="1:18">
      <c r="B27" t="s">
        <v>95</v>
      </c>
      <c r="C27" s="402">
        <f>'3 Statement Model'!D68</f>
        <v>9981</v>
      </c>
      <c r="D27" s="402">
        <f>'3 Statement Model'!E68</f>
        <v>11438</v>
      </c>
      <c r="E27" s="402">
        <f>'3 Statement Model'!F68</f>
        <v>12608</v>
      </c>
      <c r="F27" s="402">
        <f>'3 Statement Model'!G68</f>
        <v>14990</v>
      </c>
      <c r="G27" s="402">
        <f>'3 Statement Model'!H68</f>
        <v>18045</v>
      </c>
      <c r="H27" s="402">
        <f>'3 Statement Model'!I68</f>
        <v>21341.366815514975</v>
      </c>
      <c r="I27" s="402">
        <f>'3 Statement Model'!J68</f>
        <v>24434.07207459267</v>
      </c>
      <c r="J27" s="402">
        <f>'3 Statement Model'!K68</f>
        <v>27710.621924385039</v>
      </c>
      <c r="K27" s="402">
        <f>'3 Statement Model'!L68</f>
        <v>31184.006138149602</v>
      </c>
      <c r="L27" s="402">
        <f>'3 Statement Model'!M68</f>
        <v>34594.234975396648</v>
      </c>
      <c r="M27" s="402">
        <f>'3 Statement Model'!N68</f>
        <v>37851.137269985309</v>
      </c>
      <c r="N27" s="402">
        <f>'3 Statement Model'!O68</f>
        <v>40908.441405072474</v>
      </c>
      <c r="O27" s="402">
        <f>'3 Statement Model'!P68</f>
        <v>43719.764261352611</v>
      </c>
      <c r="P27" s="402">
        <f>'3 Statement Model'!Q68</f>
        <v>46239.772790582283</v>
      </c>
      <c r="Q27" s="402">
        <f>'3 Statement Model'!R68</f>
        <v>48430.508671612188</v>
      </c>
      <c r="R27" s="402">
        <f>'3 Statement Model'!S68</f>
        <v>50254.313141140454</v>
      </c>
    </row>
    <row r="28" spans="1:18">
      <c r="B28" s="24" t="s">
        <v>93</v>
      </c>
      <c r="C28" s="80">
        <f>C26/C27</f>
        <v>4.6028630869239799E-2</v>
      </c>
      <c r="D28" s="80">
        <f t="shared" ref="D28:J28" si="9">D26/D27</f>
        <v>7.0564578340516146E-2</v>
      </c>
      <c r="E28" s="80">
        <f t="shared" si="9"/>
        <v>2.8026089877575398E-2</v>
      </c>
      <c r="F28" s="80">
        <f t="shared" si="9"/>
        <v>1.6269669976062471E-2</v>
      </c>
      <c r="G28" s="80">
        <f t="shared" si="9"/>
        <v>1.216240444640034E-2</v>
      </c>
      <c r="H28" s="80">
        <f t="shared" si="9"/>
        <v>6.9854934113976364E-2</v>
      </c>
      <c r="I28" s="80">
        <f t="shared" si="9"/>
        <v>7.0165125709959253E-2</v>
      </c>
      <c r="J28" s="80">
        <f t="shared" si="9"/>
        <v>7.2386361438436547E-2</v>
      </c>
      <c r="K28" s="80">
        <f t="shared" ref="K28:O28" si="10">K26/K27</f>
        <v>7.290020927624194E-2</v>
      </c>
      <c r="L28" s="80">
        <f t="shared" si="10"/>
        <v>7.2066195348008663E-2</v>
      </c>
      <c r="M28" s="80">
        <f t="shared" si="10"/>
        <v>6.981717274546731E-2</v>
      </c>
      <c r="N28" s="80">
        <f t="shared" si="10"/>
        <v>6.8152331402725155E-2</v>
      </c>
      <c r="O28" s="80">
        <f t="shared" si="10"/>
        <v>6.6958410871066937E-2</v>
      </c>
      <c r="P28" s="80">
        <f t="shared" ref="P28:R28" si="11">P26/P27</f>
        <v>6.6158179878811979E-2</v>
      </c>
      <c r="Q28" s="80">
        <f t="shared" si="11"/>
        <v>6.5850074871339412E-2</v>
      </c>
      <c r="R28" s="80">
        <f t="shared" si="11"/>
        <v>6.5998687866869035E-2</v>
      </c>
    </row>
    <row r="30" spans="1:18">
      <c r="B30" t="s">
        <v>94</v>
      </c>
      <c r="C30" s="403">
        <f>C26</f>
        <v>459.41176470588243</v>
      </c>
      <c r="D30" s="403">
        <f t="shared" ref="D30:J30" si="12">D26</f>
        <v>807.11764705882365</v>
      </c>
      <c r="E30" s="403">
        <f t="shared" si="12"/>
        <v>353.35294117647061</v>
      </c>
      <c r="F30" s="403">
        <f t="shared" si="12"/>
        <v>243.88235294117646</v>
      </c>
      <c r="G30" s="403">
        <f t="shared" si="12"/>
        <v>219.47058823529414</v>
      </c>
      <c r="H30" s="403">
        <f t="shared" si="12"/>
        <v>1490.7997728</v>
      </c>
      <c r="I30" s="403">
        <f t="shared" si="12"/>
        <v>1714.4197387199997</v>
      </c>
      <c r="J30" s="403">
        <f t="shared" si="12"/>
        <v>2005.8710943023996</v>
      </c>
      <c r="K30" s="403">
        <f t="shared" ref="K30:O30" si="13">K26</f>
        <v>2273.3205735427191</v>
      </c>
      <c r="L30" s="403">
        <f t="shared" si="13"/>
        <v>2493.0748956518487</v>
      </c>
      <c r="M30" s="403">
        <f t="shared" si="13"/>
        <v>2642.6593893909603</v>
      </c>
      <c r="N30" s="403">
        <f t="shared" si="13"/>
        <v>2788.005655807463</v>
      </c>
      <c r="O30" s="403">
        <f t="shared" si="13"/>
        <v>2927.4059385978362</v>
      </c>
      <c r="P30" s="403">
        <f t="shared" ref="P30:R30" si="14">P26</f>
        <v>3059.1392058347383</v>
      </c>
      <c r="Q30" s="403">
        <f t="shared" si="14"/>
        <v>3189.152622082715</v>
      </c>
      <c r="R30" s="403">
        <f t="shared" si="14"/>
        <v>3316.7187269660235</v>
      </c>
    </row>
    <row r="31" spans="1:18">
      <c r="B31" t="s">
        <v>14</v>
      </c>
      <c r="C31" s="402">
        <f ca="1">'3 Statement Model'!D62</f>
        <v>12449.6</v>
      </c>
      <c r="D31" s="402">
        <f ca="1">'3 Statement Model'!E62</f>
        <v>14559</v>
      </c>
      <c r="E31" s="402">
        <f ca="1">'3 Statement Model'!F62</f>
        <v>16139.9</v>
      </c>
      <c r="F31" s="402">
        <f ca="1">'3 Statement Model'!G62</f>
        <v>19198.2</v>
      </c>
      <c r="G31" s="402">
        <f ca="1">'3 Statement Model'!H62</f>
        <v>23114.799999999999</v>
      </c>
      <c r="H31" s="402">
        <f>'3 Statement Model'!I62</f>
        <v>28355.480734371409</v>
      </c>
      <c r="I31" s="402">
        <f>'3 Statement Model'!J62</f>
        <v>31689.177512123075</v>
      </c>
      <c r="J31" s="402">
        <f>'3 Statement Model'!K62</f>
        <v>35644.416995919324</v>
      </c>
      <c r="K31" s="402">
        <f>'3 Statement Model'!L62</f>
        <v>39752.408227877851</v>
      </c>
      <c r="L31" s="402">
        <f>'3 Statement Model'!M62</f>
        <v>43740.083616891148</v>
      </c>
      <c r="M31" s="402">
        <f>'3 Statement Model'!N62</f>
        <v>47369.118516243994</v>
      </c>
      <c r="N31" s="402">
        <f>'3 Statement Model'!O62</f>
        <v>50894.368572703665</v>
      </c>
      <c r="O31" s="402">
        <f>'3 Statement Model'!P62</f>
        <v>54169.480786691245</v>
      </c>
      <c r="P31" s="402">
        <f>'3 Statement Model'!Q62</f>
        <v>57143.96312343188</v>
      </c>
      <c r="Q31" s="402">
        <f>'3 Statement Model'!R62</f>
        <v>59794.682516598346</v>
      </c>
      <c r="R31" s="402">
        <f>'3 Statement Model'!S62</f>
        <v>62018.571629619662</v>
      </c>
    </row>
    <row r="32" spans="1:18">
      <c r="B32" s="24" t="s">
        <v>96</v>
      </c>
      <c r="C32" s="80">
        <f t="shared" ref="C32:J32" ca="1" si="15">C30/C31</f>
        <v>3.6901728947587267E-2</v>
      </c>
      <c r="D32" s="80">
        <f t="shared" ca="1" si="15"/>
        <v>5.5437711866118802E-2</v>
      </c>
      <c r="E32" s="80">
        <f t="shared" ca="1" si="15"/>
        <v>2.1893130761434124E-2</v>
      </c>
      <c r="F32" s="80">
        <f t="shared" ca="1" si="15"/>
        <v>1.270339682580536E-2</v>
      </c>
      <c r="G32" s="80">
        <f t="shared" ca="1" si="15"/>
        <v>9.4948080119790848E-3</v>
      </c>
      <c r="H32" s="80">
        <f t="shared" si="15"/>
        <v>5.2575365826646368E-2</v>
      </c>
      <c r="I32" s="80">
        <f t="shared" si="15"/>
        <v>5.4101111903713119E-2</v>
      </c>
      <c r="J32" s="80">
        <f t="shared" si="15"/>
        <v>5.6274481766163759E-2</v>
      </c>
      <c r="K32" s="80">
        <f t="shared" ref="K32:O32" si="16">K30/K31</f>
        <v>5.7186990043749567E-2</v>
      </c>
      <c r="L32" s="80">
        <f t="shared" si="16"/>
        <v>5.6997488104688847E-2</v>
      </c>
      <c r="M32" s="80">
        <f t="shared" si="16"/>
        <v>5.5788654553171169E-2</v>
      </c>
      <c r="N32" s="80">
        <f t="shared" si="16"/>
        <v>5.4780238639265934E-2</v>
      </c>
      <c r="O32" s="80">
        <f t="shared" si="16"/>
        <v>5.4041609705017937E-2</v>
      </c>
      <c r="P32" s="80">
        <f t="shared" ref="P32:R32" si="17">P30/P31</f>
        <v>5.3533899971672391E-2</v>
      </c>
      <c r="Q32" s="80">
        <f t="shared" si="17"/>
        <v>5.3335054019183752E-2</v>
      </c>
      <c r="R32" s="80">
        <f t="shared" si="17"/>
        <v>5.3479443976455279E-2</v>
      </c>
    </row>
    <row r="34" spans="1:18">
      <c r="B34" t="s">
        <v>95</v>
      </c>
      <c r="C34" s="403">
        <f>C27</f>
        <v>9981</v>
      </c>
      <c r="D34" s="403">
        <f t="shared" ref="D34:J34" si="18">D27</f>
        <v>11438</v>
      </c>
      <c r="E34" s="403">
        <f t="shared" si="18"/>
        <v>12608</v>
      </c>
      <c r="F34" s="403">
        <f t="shared" si="18"/>
        <v>14990</v>
      </c>
      <c r="G34" s="403">
        <f t="shared" si="18"/>
        <v>18045</v>
      </c>
      <c r="H34" s="403">
        <f t="shared" si="18"/>
        <v>21341.366815514975</v>
      </c>
      <c r="I34" s="403">
        <f t="shared" si="18"/>
        <v>24434.07207459267</v>
      </c>
      <c r="J34" s="403">
        <f t="shared" si="18"/>
        <v>27710.621924385039</v>
      </c>
      <c r="K34" s="403">
        <f t="shared" ref="K34:O34" si="19">K27</f>
        <v>31184.006138149602</v>
      </c>
      <c r="L34" s="403">
        <f t="shared" si="19"/>
        <v>34594.234975396648</v>
      </c>
      <c r="M34" s="403">
        <f t="shared" si="19"/>
        <v>37851.137269985309</v>
      </c>
      <c r="N34" s="403">
        <f t="shared" si="19"/>
        <v>40908.441405072474</v>
      </c>
      <c r="O34" s="403">
        <f t="shared" si="19"/>
        <v>43719.764261352611</v>
      </c>
      <c r="P34" s="403">
        <f t="shared" ref="P34:R34" si="20">P27</f>
        <v>46239.772790582283</v>
      </c>
      <c r="Q34" s="403">
        <f t="shared" si="20"/>
        <v>48430.508671612188</v>
      </c>
      <c r="R34" s="403">
        <f t="shared" si="20"/>
        <v>50254.313141140454</v>
      </c>
    </row>
    <row r="35" spans="1:18">
      <c r="B35" t="s">
        <v>14</v>
      </c>
      <c r="C35" s="403">
        <f ca="1">C31</f>
        <v>12449.6</v>
      </c>
      <c r="D35" s="403">
        <f t="shared" ref="D35:J35" ca="1" si="21">D31</f>
        <v>14559</v>
      </c>
      <c r="E35" s="403">
        <f t="shared" ca="1" si="21"/>
        <v>16139.9</v>
      </c>
      <c r="F35" s="403">
        <f t="shared" ca="1" si="21"/>
        <v>19198.2</v>
      </c>
      <c r="G35" s="403">
        <f t="shared" ca="1" si="21"/>
        <v>23114.799999999999</v>
      </c>
      <c r="H35" s="403">
        <f t="shared" si="21"/>
        <v>28355.480734371409</v>
      </c>
      <c r="I35" s="403">
        <f t="shared" si="21"/>
        <v>31689.177512123075</v>
      </c>
      <c r="J35" s="403">
        <f t="shared" si="21"/>
        <v>35644.416995919324</v>
      </c>
      <c r="K35" s="403">
        <f t="shared" ref="K35:O35" si="22">K31</f>
        <v>39752.408227877851</v>
      </c>
      <c r="L35" s="403">
        <f t="shared" si="22"/>
        <v>43740.083616891148</v>
      </c>
      <c r="M35" s="403">
        <f t="shared" si="22"/>
        <v>47369.118516243994</v>
      </c>
      <c r="N35" s="403">
        <f t="shared" si="22"/>
        <v>50894.368572703665</v>
      </c>
      <c r="O35" s="403">
        <f t="shared" si="22"/>
        <v>54169.480786691245</v>
      </c>
      <c r="P35" s="403">
        <f t="shared" ref="P35:R35" si="23">P31</f>
        <v>57143.96312343188</v>
      </c>
      <c r="Q35" s="403">
        <f t="shared" si="23"/>
        <v>59794.682516598346</v>
      </c>
      <c r="R35" s="403">
        <f t="shared" si="23"/>
        <v>62018.571629619662</v>
      </c>
    </row>
    <row r="36" spans="1:18">
      <c r="B36" s="24" t="s">
        <v>97</v>
      </c>
      <c r="C36" s="80">
        <f t="shared" ref="C36:J36" ca="1" si="24">C34/C35</f>
        <v>0.8017125048194319</v>
      </c>
      <c r="D36" s="80">
        <f t="shared" ca="1" si="24"/>
        <v>0.78563088124184355</v>
      </c>
      <c r="E36" s="80">
        <f t="shared" ca="1" si="24"/>
        <v>0.78116964789125087</v>
      </c>
      <c r="F36" s="80">
        <f t="shared" ca="1" si="24"/>
        <v>0.78080236688856242</v>
      </c>
      <c r="G36" s="80">
        <f t="shared" ca="1" si="24"/>
        <v>0.78066866250194678</v>
      </c>
      <c r="H36" s="80">
        <f t="shared" si="24"/>
        <v>0.7526363956032599</v>
      </c>
      <c r="I36" s="80">
        <f t="shared" si="24"/>
        <v>0.7710541576929576</v>
      </c>
      <c r="J36" s="80">
        <f t="shared" si="24"/>
        <v>0.77741829604219448</v>
      </c>
      <c r="K36" s="80">
        <f t="shared" ref="K36:O36" si="25">K34/K35</f>
        <v>0.78445577333049876</v>
      </c>
      <c r="L36" s="80">
        <f t="shared" si="25"/>
        <v>0.79090463745792572</v>
      </c>
      <c r="M36" s="80">
        <f t="shared" si="25"/>
        <v>0.79906779892906932</v>
      </c>
      <c r="N36" s="80">
        <f t="shared" si="25"/>
        <v>0.80379111780577284</v>
      </c>
      <c r="O36" s="80">
        <f t="shared" si="25"/>
        <v>0.80709217859245208</v>
      </c>
      <c r="P36" s="80">
        <f t="shared" ref="P36:R36" si="26">P34/P35</f>
        <v>0.80918036242434965</v>
      </c>
      <c r="Q36" s="80">
        <f t="shared" si="26"/>
        <v>0.80994674832780345</v>
      </c>
      <c r="R36" s="80">
        <f t="shared" si="26"/>
        <v>0.81031071533320065</v>
      </c>
    </row>
    <row r="38" spans="1:18" ht="18">
      <c r="A38" t="s">
        <v>29</v>
      </c>
      <c r="B38" s="16" t="s">
        <v>98</v>
      </c>
      <c r="C38" s="70"/>
      <c r="D38" s="70"/>
      <c r="E38" s="70"/>
      <c r="F38" s="70"/>
      <c r="G38" s="70"/>
      <c r="H38" s="70"/>
      <c r="I38" s="70"/>
      <c r="J38" s="70"/>
      <c r="K38" s="70"/>
      <c r="L38" s="70"/>
      <c r="M38" s="70"/>
      <c r="N38" s="70"/>
      <c r="O38" s="70"/>
      <c r="P38" s="70"/>
      <c r="Q38" s="70"/>
      <c r="R38" s="70"/>
    </row>
    <row r="39" spans="1:18" ht="15.9" customHeight="1"/>
    <row r="40" spans="1:18">
      <c r="B40" t="s">
        <v>2</v>
      </c>
      <c r="C40" s="402">
        <f>'3 Statement Model'!D12</f>
        <v>4158</v>
      </c>
      <c r="D40" s="402">
        <f>'3 Statement Model'!E12</f>
        <v>3608</v>
      </c>
      <c r="E40" s="402">
        <f>'3 Statement Model'!F12</f>
        <v>4342</v>
      </c>
      <c r="F40" s="402">
        <f>'3 Statement Model'!G12</f>
        <v>6230</v>
      </c>
      <c r="G40" s="402">
        <f>'3 Statement Model'!H12</f>
        <v>7555</v>
      </c>
      <c r="H40" s="402">
        <f>'3 Statement Model'!I12</f>
        <v>8408.8655539200008</v>
      </c>
      <c r="I40" s="402">
        <f>'3 Statement Model'!J12</f>
        <v>9548.6668991999977</v>
      </c>
      <c r="J40" s="402">
        <f>'3 Statement Model'!K12</f>
        <v>11425.848005519996</v>
      </c>
      <c r="K40" s="402">
        <f>'3 Statement Model'!L12</f>
        <v>13093.175455214399</v>
      </c>
      <c r="L40" s="402">
        <f>'3 Statement Model'!M12</f>
        <v>14201.059532194075</v>
      </c>
      <c r="M40" s="402">
        <f>'3 Statement Model'!N12</f>
        <v>15053.12310412572</v>
      </c>
      <c r="N40" s="402">
        <f>'3 Statement Model'!O12</f>
        <v>15881.044874852636</v>
      </c>
      <c r="O40" s="402">
        <f>'3 Statement Model'!P12</f>
        <v>16675.097118595269</v>
      </c>
      <c r="P40" s="402">
        <f>'3 Statement Model'!Q12</f>
        <v>17425.476488932054</v>
      </c>
      <c r="Q40" s="402">
        <f>'3 Statement Model'!R12</f>
        <v>18166.059239711667</v>
      </c>
      <c r="R40" s="402">
        <f>'3 Statement Model'!S12</f>
        <v>18892.701609300133</v>
      </c>
    </row>
    <row r="41" spans="1:18">
      <c r="B41" t="s">
        <v>33</v>
      </c>
      <c r="C41" s="402">
        <f>'3 Statement Model'!D10</f>
        <v>9154</v>
      </c>
      <c r="D41" s="402">
        <f>'3 Statement Model'!E10</f>
        <v>8720</v>
      </c>
      <c r="E41" s="402">
        <f>'3 Statement Model'!F10</f>
        <v>10298</v>
      </c>
      <c r="F41" s="402">
        <f>'3 Statement Model'!G10</f>
        <v>14442</v>
      </c>
      <c r="G41" s="402">
        <f>'3 Statement Model'!H10</f>
        <v>16536</v>
      </c>
      <c r="H41" s="402">
        <f>'3 Statement Model'!I10</f>
        <v>18870.8832</v>
      </c>
      <c r="I41" s="402">
        <f>'3 Statement Model'!J10</f>
        <v>21701.515679999997</v>
      </c>
      <c r="J41" s="402">
        <f>'3 Statement Model'!K10</f>
        <v>25390.773345599995</v>
      </c>
      <c r="K41" s="402">
        <f>'3 Statement Model'!L10</f>
        <v>28776.209791679994</v>
      </c>
      <c r="L41" s="402">
        <f>'3 Statement Model'!M10</f>
        <v>31557.910071542392</v>
      </c>
      <c r="M41" s="402">
        <f>'3 Statement Model'!N10</f>
        <v>33451.384675834939</v>
      </c>
      <c r="N41" s="402">
        <f>'3 Statement Model'!O10</f>
        <v>35291.210833005862</v>
      </c>
      <c r="O41" s="402">
        <f>'3 Statement Model'!P10</f>
        <v>37055.771374656157</v>
      </c>
      <c r="P41" s="402">
        <f>'3 Statement Model'!Q10</f>
        <v>38723.281086515679</v>
      </c>
      <c r="Q41" s="402">
        <f>'3 Statement Model'!R10</f>
        <v>40369.020532692593</v>
      </c>
      <c r="R41" s="402">
        <f>'3 Statement Model'!S10</f>
        <v>41983.781354000297</v>
      </c>
    </row>
    <row r="42" spans="1:18">
      <c r="B42" s="24" t="s">
        <v>99</v>
      </c>
      <c r="C42" s="80">
        <f>C40/C41</f>
        <v>0.45422766003932707</v>
      </c>
      <c r="D42" s="80">
        <f t="shared" ref="D42:J42" si="27">D40/D41</f>
        <v>0.41376146788990825</v>
      </c>
      <c r="E42" s="80">
        <f t="shared" si="27"/>
        <v>0.42163526898426879</v>
      </c>
      <c r="F42" s="80">
        <f t="shared" si="27"/>
        <v>0.4313806951945714</v>
      </c>
      <c r="G42" s="80">
        <f t="shared" si="27"/>
        <v>0.45688195452346397</v>
      </c>
      <c r="H42" s="80">
        <f t="shared" si="27"/>
        <v>0.44560000000000005</v>
      </c>
      <c r="I42" s="80">
        <f t="shared" si="27"/>
        <v>0.43999999999999995</v>
      </c>
      <c r="J42" s="80">
        <f t="shared" si="27"/>
        <v>0.44999999999999996</v>
      </c>
      <c r="K42" s="80">
        <f t="shared" ref="K42:O42" si="28">K40/K41</f>
        <v>0.45500000000000007</v>
      </c>
      <c r="L42" s="80">
        <f t="shared" si="28"/>
        <v>0.44999999999999996</v>
      </c>
      <c r="M42" s="80">
        <f t="shared" si="28"/>
        <v>0.4499999999999999</v>
      </c>
      <c r="N42" s="80">
        <f t="shared" si="28"/>
        <v>0.44999999999999996</v>
      </c>
      <c r="O42" s="80">
        <f t="shared" si="28"/>
        <v>0.44999999999999996</v>
      </c>
      <c r="P42" s="80">
        <f t="shared" ref="P42:R42" si="29">P40/P41</f>
        <v>0.44999999999999996</v>
      </c>
      <c r="Q42" s="80">
        <f t="shared" si="29"/>
        <v>0.45</v>
      </c>
      <c r="R42" s="80">
        <f t="shared" si="29"/>
        <v>0.44999999999999996</v>
      </c>
    </row>
    <row r="44" spans="1:18">
      <c r="B44" t="s">
        <v>100</v>
      </c>
      <c r="C44" s="402">
        <f>'3 Statement Model'!D23</f>
        <v>2180.3000000000002</v>
      </c>
      <c r="D44" s="402">
        <f>'3 Statement Model'!E23</f>
        <v>1781.1</v>
      </c>
      <c r="E44" s="402">
        <f>'3 Statement Model'!F23</f>
        <v>2173.1999999999998</v>
      </c>
      <c r="F44" s="402">
        <f>'3 Statement Model'!G23</f>
        <v>3443.8</v>
      </c>
      <c r="G44" s="402">
        <f>'3 Statement Model'!H23</f>
        <v>4324.7</v>
      </c>
      <c r="H44" s="402">
        <f>'3 Statement Model'!I23</f>
        <v>4936.6230451200008</v>
      </c>
      <c r="I44" s="402">
        <f>'3 Statement Model'!J23</f>
        <v>5555.5880140799982</v>
      </c>
      <c r="J44" s="402">
        <f>'3 Statement Model'!K23</f>
        <v>6753.9457099295978</v>
      </c>
      <c r="K44" s="402">
        <f>'3 Statement Model'!L23</f>
        <v>7798.3528535452806</v>
      </c>
      <c r="L44" s="402">
        <f>'3 Statement Model'!M23</f>
        <v>8394.4040790302752</v>
      </c>
      <c r="M44" s="402">
        <f>'3 Statement Model'!N23</f>
        <v>8898.0683237720914</v>
      </c>
      <c r="N44" s="402">
        <f>'3 Statement Model'!O23</f>
        <v>9387.462081579557</v>
      </c>
      <c r="O44" s="402">
        <f>'3 Statement Model'!P23</f>
        <v>9856.8351856585359</v>
      </c>
      <c r="P44" s="402">
        <f>'3 Statement Model'!Q23</f>
        <v>10300.39276901317</v>
      </c>
      <c r="Q44" s="402">
        <f>'3 Statement Model'!R23</f>
        <v>10738.15946169623</v>
      </c>
      <c r="R44" s="402">
        <f>'3 Statement Model'!S23</f>
        <v>11167.685840164078</v>
      </c>
    </row>
    <row r="45" spans="1:18">
      <c r="B45" t="s">
        <v>33</v>
      </c>
      <c r="C45" s="402">
        <f>'3 Statement Model'!D10</f>
        <v>9154</v>
      </c>
      <c r="D45" s="402">
        <f>'3 Statement Model'!E10</f>
        <v>8720</v>
      </c>
      <c r="E45" s="402">
        <f>'3 Statement Model'!F10</f>
        <v>10298</v>
      </c>
      <c r="F45" s="402">
        <f>'3 Statement Model'!G10</f>
        <v>14442</v>
      </c>
      <c r="G45" s="402">
        <f>'3 Statement Model'!H10</f>
        <v>16536</v>
      </c>
      <c r="H45" s="402">
        <f>'3 Statement Model'!I10</f>
        <v>18870.8832</v>
      </c>
      <c r="I45" s="402">
        <f>'3 Statement Model'!J10</f>
        <v>21701.515679999997</v>
      </c>
      <c r="J45" s="402">
        <f>'3 Statement Model'!K10</f>
        <v>25390.773345599995</v>
      </c>
      <c r="K45" s="402">
        <f>'3 Statement Model'!L10</f>
        <v>28776.209791679994</v>
      </c>
      <c r="L45" s="402">
        <f>'3 Statement Model'!M10</f>
        <v>31557.910071542392</v>
      </c>
      <c r="M45" s="402">
        <f>'3 Statement Model'!N10</f>
        <v>33451.384675834939</v>
      </c>
      <c r="N45" s="402">
        <f>'3 Statement Model'!O10</f>
        <v>35291.210833005862</v>
      </c>
      <c r="O45" s="402">
        <f>'3 Statement Model'!P10</f>
        <v>37055.771374656157</v>
      </c>
      <c r="P45" s="402">
        <f>'3 Statement Model'!Q10</f>
        <v>38723.281086515679</v>
      </c>
      <c r="Q45" s="402">
        <f>'3 Statement Model'!R10</f>
        <v>40369.020532692593</v>
      </c>
      <c r="R45" s="402">
        <f>'3 Statement Model'!S10</f>
        <v>41983.781354000297</v>
      </c>
    </row>
    <row r="46" spans="1:18">
      <c r="B46" s="24" t="s">
        <v>101</v>
      </c>
      <c r="C46" s="80">
        <f t="shared" ref="C46:J46" si="30">C44/C45</f>
        <v>0.23818003058772125</v>
      </c>
      <c r="D46" s="80">
        <f t="shared" si="30"/>
        <v>0.20425458715596329</v>
      </c>
      <c r="E46" s="80">
        <f t="shared" si="30"/>
        <v>0.21103126820741891</v>
      </c>
      <c r="F46" s="80">
        <f t="shared" si="30"/>
        <v>0.2384572773854037</v>
      </c>
      <c r="G46" s="80">
        <f t="shared" si="30"/>
        <v>0.26153241412675376</v>
      </c>
      <c r="H46" s="80">
        <f t="shared" si="30"/>
        <v>0.26160000000000005</v>
      </c>
      <c r="I46" s="80">
        <f t="shared" si="30"/>
        <v>0.25599999999999995</v>
      </c>
      <c r="J46" s="80">
        <f t="shared" si="30"/>
        <v>0.26599999999999996</v>
      </c>
      <c r="K46" s="80">
        <f t="shared" ref="K46:O46" si="31">K44/K45</f>
        <v>0.27100000000000007</v>
      </c>
      <c r="L46" s="80">
        <f t="shared" si="31"/>
        <v>0.26599999999999996</v>
      </c>
      <c r="M46" s="80">
        <f t="shared" si="31"/>
        <v>0.2659999999999999</v>
      </c>
      <c r="N46" s="80">
        <f t="shared" si="31"/>
        <v>0.26599999999999996</v>
      </c>
      <c r="O46" s="80">
        <f t="shared" si="31"/>
        <v>0.26599999999999996</v>
      </c>
      <c r="P46" s="80">
        <f t="shared" ref="P46:R46" si="32">P44/P45</f>
        <v>0.26599999999999996</v>
      </c>
      <c r="Q46" s="80">
        <f t="shared" si="32"/>
        <v>0.26600000000000001</v>
      </c>
      <c r="R46" s="80">
        <f t="shared" si="32"/>
        <v>0.26599999999999996</v>
      </c>
    </row>
    <row r="48" spans="1:18">
      <c r="B48" t="s">
        <v>102</v>
      </c>
      <c r="C48" s="402">
        <f>'3 Statement Model'!D26</f>
        <v>1798.3000000000002</v>
      </c>
      <c r="D48" s="402">
        <f>'3 Statement Model'!E26</f>
        <v>1330.1</v>
      </c>
      <c r="E48" s="402">
        <f>'3 Statement Model'!F26</f>
        <v>1721.1999999999998</v>
      </c>
      <c r="F48" s="402">
        <f>'3 Statement Model'!G26</f>
        <v>2917.8</v>
      </c>
      <c r="G48" s="402">
        <f>'3 Statement Model'!H26</f>
        <v>3726.7</v>
      </c>
      <c r="H48" s="402">
        <f>'3 Statement Model'!I26</f>
        <v>4224.4008228977782</v>
      </c>
      <c r="I48" s="402">
        <f>'3 Statement Model'!J26</f>
        <v>4704.4769029688869</v>
      </c>
      <c r="J48" s="402">
        <f>'3 Statement Model'!K26</f>
        <v>5789.9395210959738</v>
      </c>
      <c r="K48" s="402">
        <f>'3 Statement Model'!L26</f>
        <v>6730.748828683938</v>
      </c>
      <c r="L48" s="402">
        <f>'3 Statement Model'!M26</f>
        <v>7241.6771655661578</v>
      </c>
      <c r="M48" s="402">
        <f>'3 Statement Model'!N26</f>
        <v>7687.3991406176701</v>
      </c>
      <c r="N48" s="402">
        <f>'3 Statement Model'!O26</f>
        <v>8120.4923263760584</v>
      </c>
      <c r="O48" s="402">
        <f>'3 Statement Model'!P26</f>
        <v>8535.8680636261488</v>
      </c>
      <c r="P48" s="402">
        <f>'3 Statement Model'!Q26</f>
        <v>8928.398135327483</v>
      </c>
      <c r="Q48" s="402">
        <f>'3 Statement Model'!R26</f>
        <v>9315.8035088704964</v>
      </c>
      <c r="R48" s="402">
        <f>'3 Statement Model'!S26</f>
        <v>9695.9165459703454</v>
      </c>
    </row>
    <row r="49" spans="1:18">
      <c r="B49" t="s">
        <v>33</v>
      </c>
      <c r="C49" s="402">
        <f>'3 Statement Model'!D10</f>
        <v>9154</v>
      </c>
      <c r="D49" s="402">
        <f>'3 Statement Model'!E10</f>
        <v>8720</v>
      </c>
      <c r="E49" s="402">
        <f>'3 Statement Model'!F10</f>
        <v>10298</v>
      </c>
      <c r="F49" s="402">
        <f>'3 Statement Model'!G10</f>
        <v>14442</v>
      </c>
      <c r="G49" s="402">
        <f>'3 Statement Model'!H10</f>
        <v>16536</v>
      </c>
      <c r="H49" s="402">
        <f>'3 Statement Model'!I10</f>
        <v>18870.8832</v>
      </c>
      <c r="I49" s="402">
        <f>'3 Statement Model'!J10</f>
        <v>21701.515679999997</v>
      </c>
      <c r="J49" s="402">
        <f>'3 Statement Model'!K10</f>
        <v>25390.773345599995</v>
      </c>
      <c r="K49" s="402">
        <f>'3 Statement Model'!L10</f>
        <v>28776.209791679994</v>
      </c>
      <c r="L49" s="402">
        <f>'3 Statement Model'!M10</f>
        <v>31557.910071542392</v>
      </c>
      <c r="M49" s="402">
        <f>'3 Statement Model'!N10</f>
        <v>33451.384675834939</v>
      </c>
      <c r="N49" s="402">
        <f>'3 Statement Model'!O10</f>
        <v>35291.210833005862</v>
      </c>
      <c r="O49" s="402">
        <f>'3 Statement Model'!P10</f>
        <v>37055.771374656157</v>
      </c>
      <c r="P49" s="402">
        <f>'3 Statement Model'!Q10</f>
        <v>38723.281086515679</v>
      </c>
      <c r="Q49" s="402">
        <f>'3 Statement Model'!R10</f>
        <v>40369.020532692593</v>
      </c>
      <c r="R49" s="402">
        <f>'3 Statement Model'!S10</f>
        <v>41983.781354000297</v>
      </c>
    </row>
    <row r="50" spans="1:18">
      <c r="B50" s="24" t="s">
        <v>103</v>
      </c>
      <c r="C50" s="80">
        <f t="shared" ref="C50:J50" si="33">C48/C49</f>
        <v>0.19644963950185712</v>
      </c>
      <c r="D50" s="80">
        <f t="shared" si="33"/>
        <v>0.15253440366972476</v>
      </c>
      <c r="E50" s="80">
        <f t="shared" si="33"/>
        <v>0.16713925033987181</v>
      </c>
      <c r="F50" s="80">
        <f t="shared" si="33"/>
        <v>0.20203572912339013</v>
      </c>
      <c r="G50" s="80">
        <f t="shared" si="33"/>
        <v>0.22536889211417513</v>
      </c>
      <c r="H50" s="80">
        <f t="shared" si="33"/>
        <v>0.22385814050811242</v>
      </c>
      <c r="I50" s="80">
        <f t="shared" si="33"/>
        <v>0.21678102913818634</v>
      </c>
      <c r="J50" s="80">
        <f t="shared" si="33"/>
        <v>0.22803320884668213</v>
      </c>
      <c r="K50" s="80">
        <f t="shared" ref="K50:O50" si="34">K48/K49</f>
        <v>0.23389976919858241</v>
      </c>
      <c r="L50" s="80">
        <f t="shared" si="34"/>
        <v>0.22947264724277164</v>
      </c>
      <c r="M50" s="80">
        <f t="shared" si="34"/>
        <v>0.22980809957834114</v>
      </c>
      <c r="N50" s="80">
        <f t="shared" si="34"/>
        <v>0.23009956685253269</v>
      </c>
      <c r="O50" s="80">
        <f t="shared" si="34"/>
        <v>0.23035191947088035</v>
      </c>
      <c r="P50" s="80">
        <f t="shared" ref="P50:R50" si="35">P48/P49</f>
        <v>0.23056925665414632</v>
      </c>
      <c r="Q50" s="80">
        <f t="shared" si="35"/>
        <v>0.23076615151774993</v>
      </c>
      <c r="R50" s="80">
        <f t="shared" si="35"/>
        <v>0.2309443369146762</v>
      </c>
    </row>
    <row r="52" spans="1:18">
      <c r="B52" t="s">
        <v>104</v>
      </c>
      <c r="C52" s="402">
        <f>'3 Statement Model'!D35</f>
        <v>1828.3000000000002</v>
      </c>
      <c r="D52" s="402">
        <f>'3 Statement Model'!E35</f>
        <v>1346.1</v>
      </c>
      <c r="E52" s="402">
        <f>'3 Statement Model'!F35</f>
        <v>1677.1999999999998</v>
      </c>
      <c r="F52" s="402">
        <f>'3 Statement Model'!G35</f>
        <v>2913.8</v>
      </c>
      <c r="G52" s="402">
        <f>'3 Statement Model'!H35</f>
        <v>4000.7</v>
      </c>
      <c r="H52" s="402">
        <f>'3 Statement Model'!I35</f>
        <v>4709.0954507356801</v>
      </c>
      <c r="I52" s="402">
        <f>'3 Statement Model'!J35</f>
        <v>4758.0080908887603</v>
      </c>
      <c r="J52" s="402">
        <f>'3 Statement Model'!K35</f>
        <v>5460.916416320616</v>
      </c>
      <c r="K52" s="402">
        <f>'3 Statement Model'!L35</f>
        <v>6315.2440250264826</v>
      </c>
      <c r="L52" s="402">
        <f>'3 Statement Model'!M35</f>
        <v>6820.4576744940896</v>
      </c>
      <c r="M52" s="402">
        <f>'3 Statement Model'!N35</f>
        <v>7237.5606546414801</v>
      </c>
      <c r="N52" s="402">
        <f>'3 Statement Model'!O35</f>
        <v>7643.2603377179039</v>
      </c>
      <c r="O52" s="402">
        <f>'3 Statement Model'!P35</f>
        <v>8032.3510179432642</v>
      </c>
      <c r="P52" s="402">
        <f>'3 Statement Model'!Q35</f>
        <v>8400.0284307655838</v>
      </c>
      <c r="Q52" s="402">
        <f>'3 Statement Model'!R35</f>
        <v>8762.9435241196006</v>
      </c>
      <c r="R52" s="402">
        <f>'3 Statement Model'!S35</f>
        <v>9119.0223476413139</v>
      </c>
    </row>
    <row r="53" spans="1:18">
      <c r="B53" t="s">
        <v>33</v>
      </c>
      <c r="C53" s="402">
        <f>'3 Statement Model'!D10</f>
        <v>9154</v>
      </c>
      <c r="D53" s="402">
        <f>'3 Statement Model'!E10</f>
        <v>8720</v>
      </c>
      <c r="E53" s="402">
        <f>'3 Statement Model'!F10</f>
        <v>10298</v>
      </c>
      <c r="F53" s="402">
        <f>'3 Statement Model'!G10</f>
        <v>14442</v>
      </c>
      <c r="G53" s="402">
        <f>'3 Statement Model'!H10</f>
        <v>16536</v>
      </c>
      <c r="H53" s="402">
        <f>'3 Statement Model'!I10</f>
        <v>18870.8832</v>
      </c>
      <c r="I53" s="402">
        <f>'3 Statement Model'!J10</f>
        <v>21701.515679999997</v>
      </c>
      <c r="J53" s="402">
        <f>'3 Statement Model'!K10</f>
        <v>25390.773345599995</v>
      </c>
      <c r="K53" s="402">
        <f>'3 Statement Model'!L10</f>
        <v>28776.209791679994</v>
      </c>
      <c r="L53" s="402">
        <f>'3 Statement Model'!M10</f>
        <v>31557.910071542392</v>
      </c>
      <c r="M53" s="402">
        <f>'3 Statement Model'!N10</f>
        <v>33451.384675834939</v>
      </c>
      <c r="N53" s="402">
        <f>'3 Statement Model'!O10</f>
        <v>35291.210833005862</v>
      </c>
      <c r="O53" s="402">
        <f>'3 Statement Model'!P10</f>
        <v>37055.771374656157</v>
      </c>
      <c r="P53" s="402">
        <f>'3 Statement Model'!Q10</f>
        <v>38723.281086515679</v>
      </c>
      <c r="Q53" s="402">
        <f>'3 Statement Model'!R10</f>
        <v>40369.020532692593</v>
      </c>
      <c r="R53" s="402">
        <f>'3 Statement Model'!S10</f>
        <v>41983.781354000297</v>
      </c>
    </row>
    <row r="54" spans="1:18">
      <c r="B54" s="24" t="s">
        <v>105</v>
      </c>
      <c r="C54" s="80">
        <f t="shared" ref="C54:J54" si="36">C52/C53</f>
        <v>0.19972689534629673</v>
      </c>
      <c r="D54" s="80">
        <f t="shared" si="36"/>
        <v>0.15436926605504586</v>
      </c>
      <c r="E54" s="80">
        <f t="shared" si="36"/>
        <v>0.16286657603418137</v>
      </c>
      <c r="F54" s="80">
        <f t="shared" si="36"/>
        <v>0.20175875917462957</v>
      </c>
      <c r="G54" s="80">
        <f t="shared" si="36"/>
        <v>0.24193880019351716</v>
      </c>
      <c r="H54" s="80">
        <f t="shared" si="36"/>
        <v>0.24954292816224308</v>
      </c>
      <c r="I54" s="80">
        <f t="shared" si="36"/>
        <v>0.21924773186573857</v>
      </c>
      <c r="J54" s="80">
        <f t="shared" si="36"/>
        <v>0.21507483612219108</v>
      </c>
      <c r="K54" s="80">
        <f t="shared" ref="K54:O54" si="37">K52/K53</f>
        <v>0.21946059160481921</v>
      </c>
      <c r="L54" s="80">
        <f t="shared" si="37"/>
        <v>0.21612513816764103</v>
      </c>
      <c r="M54" s="80">
        <f t="shared" si="37"/>
        <v>0.21636056996677469</v>
      </c>
      <c r="N54" s="80">
        <f t="shared" si="37"/>
        <v>0.21657688011570284</v>
      </c>
      <c r="O54" s="80">
        <f t="shared" si="37"/>
        <v>0.21676383246030315</v>
      </c>
      <c r="P54" s="80">
        <f t="shared" ref="P54:R54" si="38">P52/P53</f>
        <v>0.21692450110304995</v>
      </c>
      <c r="Q54" s="80">
        <f t="shared" si="38"/>
        <v>0.21707099673183763</v>
      </c>
      <c r="R54" s="80">
        <f t="shared" si="38"/>
        <v>0.21720345460908408</v>
      </c>
    </row>
    <row r="56" spans="1:18">
      <c r="B56" t="s">
        <v>5</v>
      </c>
      <c r="C56" s="403">
        <f>C52</f>
        <v>1828.3000000000002</v>
      </c>
      <c r="D56" s="403">
        <f t="shared" ref="D56:R56" si="39">D52</f>
        <v>1346.1</v>
      </c>
      <c r="E56" s="403">
        <f t="shared" si="39"/>
        <v>1677.1999999999998</v>
      </c>
      <c r="F56" s="403">
        <f t="shared" si="39"/>
        <v>2913.8</v>
      </c>
      <c r="G56" s="403">
        <f t="shared" si="39"/>
        <v>4000.7</v>
      </c>
      <c r="H56" s="403">
        <f t="shared" si="39"/>
        <v>4709.0954507356801</v>
      </c>
      <c r="I56" s="403">
        <f t="shared" si="39"/>
        <v>4758.0080908887603</v>
      </c>
      <c r="J56" s="403">
        <f t="shared" si="39"/>
        <v>5460.916416320616</v>
      </c>
      <c r="K56" s="403">
        <f t="shared" si="39"/>
        <v>6315.2440250264826</v>
      </c>
      <c r="L56" s="403">
        <f t="shared" si="39"/>
        <v>6820.4576744940896</v>
      </c>
      <c r="M56" s="403">
        <f t="shared" si="39"/>
        <v>7237.5606546414801</v>
      </c>
      <c r="N56" s="403">
        <f t="shared" si="39"/>
        <v>7643.2603377179039</v>
      </c>
      <c r="O56" s="403">
        <f t="shared" si="39"/>
        <v>8032.3510179432642</v>
      </c>
      <c r="P56" s="403">
        <f t="shared" si="39"/>
        <v>8400.0284307655838</v>
      </c>
      <c r="Q56" s="403">
        <f t="shared" si="39"/>
        <v>8762.9435241196006</v>
      </c>
      <c r="R56" s="403">
        <f t="shared" si="39"/>
        <v>9119.0223476413139</v>
      </c>
    </row>
    <row r="57" spans="1:18">
      <c r="B57" t="s">
        <v>14</v>
      </c>
      <c r="C57" s="403">
        <f ca="1">C31</f>
        <v>12449.6</v>
      </c>
      <c r="D57" s="403">
        <f t="shared" ref="D57:R57" ca="1" si="40">D31</f>
        <v>14559</v>
      </c>
      <c r="E57" s="403">
        <f t="shared" ca="1" si="40"/>
        <v>16139.9</v>
      </c>
      <c r="F57" s="403">
        <f t="shared" ca="1" si="40"/>
        <v>19198.2</v>
      </c>
      <c r="G57" s="403">
        <f t="shared" ca="1" si="40"/>
        <v>23114.799999999999</v>
      </c>
      <c r="H57" s="403">
        <f t="shared" si="40"/>
        <v>28355.480734371409</v>
      </c>
      <c r="I57" s="403">
        <f t="shared" si="40"/>
        <v>31689.177512123075</v>
      </c>
      <c r="J57" s="403">
        <f t="shared" si="40"/>
        <v>35644.416995919324</v>
      </c>
      <c r="K57" s="403">
        <f t="shared" si="40"/>
        <v>39752.408227877851</v>
      </c>
      <c r="L57" s="403">
        <f t="shared" si="40"/>
        <v>43740.083616891148</v>
      </c>
      <c r="M57" s="403">
        <f t="shared" si="40"/>
        <v>47369.118516243994</v>
      </c>
      <c r="N57" s="403">
        <f t="shared" si="40"/>
        <v>50894.368572703665</v>
      </c>
      <c r="O57" s="403">
        <f t="shared" si="40"/>
        <v>54169.480786691245</v>
      </c>
      <c r="P57" s="403">
        <f t="shared" si="40"/>
        <v>57143.96312343188</v>
      </c>
      <c r="Q57" s="403">
        <f t="shared" si="40"/>
        <v>59794.682516598346</v>
      </c>
      <c r="R57" s="403">
        <f t="shared" si="40"/>
        <v>62018.571629619662</v>
      </c>
    </row>
    <row r="58" spans="1:18">
      <c r="B58" s="24" t="s">
        <v>106</v>
      </c>
      <c r="C58" s="80">
        <f ca="1">C56/C57</f>
        <v>0.14685612389153066</v>
      </c>
      <c r="D58" s="80">
        <f t="shared" ref="D58:J58" ca="1" si="41">D56/D57</f>
        <v>9.245827323305171E-2</v>
      </c>
      <c r="E58" s="80">
        <f t="shared" ca="1" si="41"/>
        <v>0.10391638114238626</v>
      </c>
      <c r="F58" s="80">
        <f t="shared" ca="1" si="41"/>
        <v>0.151774645539686</v>
      </c>
      <c r="G58" s="80">
        <f t="shared" ca="1" si="41"/>
        <v>0.17307958537387302</v>
      </c>
      <c r="H58" s="80">
        <f t="shared" si="41"/>
        <v>0.16607355364028437</v>
      </c>
      <c r="I58" s="80">
        <f t="shared" si="41"/>
        <v>0.15014615286460267</v>
      </c>
      <c r="J58" s="80">
        <f t="shared" si="41"/>
        <v>0.15320537903441644</v>
      </c>
      <c r="K58" s="80">
        <f t="shared" ref="K58:O58" si="42">K56/K57</f>
        <v>0.15886443882405302</v>
      </c>
      <c r="L58" s="80">
        <f t="shared" si="42"/>
        <v>0.15593151888397916</v>
      </c>
      <c r="M58" s="80">
        <f t="shared" si="42"/>
        <v>0.15279069742789386</v>
      </c>
      <c r="N58" s="80">
        <f t="shared" si="42"/>
        <v>0.15017890096817582</v>
      </c>
      <c r="O58" s="80">
        <f t="shared" si="42"/>
        <v>0.14828185356941267</v>
      </c>
      <c r="P58" s="80">
        <f t="shared" ref="P58:R58" si="43">P56/P57</f>
        <v>0.14699765244880525</v>
      </c>
      <c r="Q58" s="80">
        <f t="shared" si="43"/>
        <v>0.14655054856570404</v>
      </c>
      <c r="R58" s="80">
        <f t="shared" si="43"/>
        <v>0.14703696180074757</v>
      </c>
    </row>
    <row r="60" spans="1:18">
      <c r="B60" t="s">
        <v>5</v>
      </c>
      <c r="C60" s="403">
        <f>C56</f>
        <v>1828.3000000000002</v>
      </c>
      <c r="D60" s="403">
        <f t="shared" ref="D60:R60" si="44">D56</f>
        <v>1346.1</v>
      </c>
      <c r="E60" s="403">
        <f t="shared" si="44"/>
        <v>1677.1999999999998</v>
      </c>
      <c r="F60" s="403">
        <f t="shared" si="44"/>
        <v>2913.8</v>
      </c>
      <c r="G60" s="403">
        <f t="shared" si="44"/>
        <v>4000.7</v>
      </c>
      <c r="H60" s="403">
        <f t="shared" si="44"/>
        <v>4709.0954507356801</v>
      </c>
      <c r="I60" s="403">
        <f t="shared" si="44"/>
        <v>4758.0080908887603</v>
      </c>
      <c r="J60" s="403">
        <f t="shared" si="44"/>
        <v>5460.916416320616</v>
      </c>
      <c r="K60" s="403">
        <f t="shared" si="44"/>
        <v>6315.2440250264826</v>
      </c>
      <c r="L60" s="403">
        <f t="shared" si="44"/>
        <v>6820.4576744940896</v>
      </c>
      <c r="M60" s="403">
        <f t="shared" si="44"/>
        <v>7237.5606546414801</v>
      </c>
      <c r="N60" s="403">
        <f t="shared" si="44"/>
        <v>7643.2603377179039</v>
      </c>
      <c r="O60" s="403">
        <f t="shared" si="44"/>
        <v>8032.3510179432642</v>
      </c>
      <c r="P60" s="403">
        <f t="shared" si="44"/>
        <v>8400.0284307655838</v>
      </c>
      <c r="Q60" s="403">
        <f t="shared" si="44"/>
        <v>8762.9435241196006</v>
      </c>
      <c r="R60" s="403">
        <f t="shared" si="44"/>
        <v>9119.0223476413139</v>
      </c>
    </row>
    <row r="61" spans="1:18">
      <c r="B61" t="s">
        <v>95</v>
      </c>
      <c r="C61" s="402">
        <f>'3 Statement Model'!D68</f>
        <v>9981</v>
      </c>
      <c r="D61" s="402">
        <f>'3 Statement Model'!E68</f>
        <v>11438</v>
      </c>
      <c r="E61" s="402">
        <f>'3 Statement Model'!F68</f>
        <v>12608</v>
      </c>
      <c r="F61" s="402">
        <f>'3 Statement Model'!G68</f>
        <v>14990</v>
      </c>
      <c r="G61" s="402">
        <f>'3 Statement Model'!H68</f>
        <v>18045</v>
      </c>
      <c r="H61" s="402">
        <f>'3 Statement Model'!I68</f>
        <v>21341.366815514975</v>
      </c>
      <c r="I61" s="402">
        <f>'3 Statement Model'!J68</f>
        <v>24434.07207459267</v>
      </c>
      <c r="J61" s="402">
        <f>'3 Statement Model'!K68</f>
        <v>27710.621924385039</v>
      </c>
      <c r="K61" s="402">
        <f>'3 Statement Model'!L68</f>
        <v>31184.006138149602</v>
      </c>
      <c r="L61" s="402">
        <f>'3 Statement Model'!M68</f>
        <v>34594.234975396648</v>
      </c>
      <c r="M61" s="402">
        <f>'3 Statement Model'!N68</f>
        <v>37851.137269985309</v>
      </c>
      <c r="N61" s="402">
        <f>'3 Statement Model'!O68</f>
        <v>40908.441405072474</v>
      </c>
      <c r="O61" s="402">
        <f>'3 Statement Model'!P68</f>
        <v>43719.764261352611</v>
      </c>
      <c r="P61" s="402">
        <f>'3 Statement Model'!Q68</f>
        <v>46239.772790582283</v>
      </c>
      <c r="Q61" s="402">
        <f>'3 Statement Model'!R68</f>
        <v>48430.508671612188</v>
      </c>
      <c r="R61" s="402">
        <f>'3 Statement Model'!S68</f>
        <v>50254.313141140454</v>
      </c>
    </row>
    <row r="62" spans="1:18">
      <c r="B62" s="24" t="s">
        <v>107</v>
      </c>
      <c r="C62" s="80">
        <f t="shared" ref="C62:J62" si="45">C60/C61</f>
        <v>0.18317803827271817</v>
      </c>
      <c r="D62" s="80">
        <f t="shared" si="45"/>
        <v>0.11768665850673193</v>
      </c>
      <c r="E62" s="80">
        <f t="shared" si="45"/>
        <v>0.13302664974619288</v>
      </c>
      <c r="F62" s="80">
        <f t="shared" si="45"/>
        <v>0.19438292194796533</v>
      </c>
      <c r="G62" s="80">
        <f t="shared" si="45"/>
        <v>0.22170684400110832</v>
      </c>
      <c r="H62" s="80">
        <f t="shared" si="45"/>
        <v>0.22065575703015478</v>
      </c>
      <c r="I62" s="80">
        <f t="shared" si="45"/>
        <v>0.19472841351877199</v>
      </c>
      <c r="J62" s="80">
        <f t="shared" si="45"/>
        <v>0.19706942815004344</v>
      </c>
      <c r="K62" s="80">
        <f t="shared" ref="K62:O62" si="46">K60/K61</f>
        <v>0.2025154817199897</v>
      </c>
      <c r="L62" s="80">
        <f t="shared" si="46"/>
        <v>0.19715590413676687</v>
      </c>
      <c r="M62" s="80">
        <f t="shared" si="46"/>
        <v>0.19121118086934272</v>
      </c>
      <c r="N62" s="80">
        <f t="shared" si="46"/>
        <v>0.18683821908624884</v>
      </c>
      <c r="O62" s="80">
        <f t="shared" si="46"/>
        <v>0.18372356652992525</v>
      </c>
      <c r="P62" s="80">
        <f t="shared" ref="P62:R62" si="47">P60/P61</f>
        <v>0.18166240714046997</v>
      </c>
      <c r="Q62" s="80">
        <f t="shared" si="47"/>
        <v>0.1809384985719972</v>
      </c>
      <c r="R62" s="80">
        <f t="shared" si="47"/>
        <v>0.18145750638418476</v>
      </c>
    </row>
    <row r="64" spans="1:18" ht="18">
      <c r="A64" t="s">
        <v>29</v>
      </c>
      <c r="B64" s="16" t="s">
        <v>108</v>
      </c>
      <c r="C64" s="70"/>
      <c r="D64" s="70"/>
      <c r="E64" s="70"/>
      <c r="F64" s="70"/>
      <c r="G64" s="70"/>
      <c r="H64" s="70"/>
      <c r="I64" s="70"/>
      <c r="J64" s="70"/>
      <c r="K64" s="70"/>
      <c r="L64" s="70"/>
      <c r="M64" s="70"/>
      <c r="N64" s="70"/>
      <c r="O64" s="70"/>
      <c r="P64" s="70"/>
      <c r="Q64" s="70"/>
      <c r="R64" s="70"/>
    </row>
    <row r="66" spans="1:18">
      <c r="B66" t="s">
        <v>43</v>
      </c>
      <c r="C66" s="402">
        <f>'3 Statement Model'!D10</f>
        <v>9154</v>
      </c>
      <c r="D66" s="402">
        <f>'3 Statement Model'!E10</f>
        <v>8720</v>
      </c>
      <c r="E66" s="402">
        <f>'3 Statement Model'!F10</f>
        <v>10298</v>
      </c>
      <c r="F66" s="402">
        <f>'3 Statement Model'!G10</f>
        <v>14442</v>
      </c>
      <c r="G66" s="402">
        <f>'3 Statement Model'!H10</f>
        <v>16536</v>
      </c>
      <c r="H66" s="402">
        <f>'3 Statement Model'!I10</f>
        <v>18870.8832</v>
      </c>
      <c r="I66" s="402">
        <f>'3 Statement Model'!J10</f>
        <v>21701.515679999997</v>
      </c>
      <c r="J66" s="402">
        <f>'3 Statement Model'!K10</f>
        <v>25390.773345599995</v>
      </c>
      <c r="K66" s="402">
        <f>'3 Statement Model'!L10</f>
        <v>28776.209791679994</v>
      </c>
      <c r="L66" s="402">
        <f>'3 Statement Model'!M10</f>
        <v>31557.910071542392</v>
      </c>
      <c r="M66" s="402">
        <f>'3 Statement Model'!N10</f>
        <v>33451.384675834939</v>
      </c>
      <c r="N66" s="402">
        <f>'3 Statement Model'!O10</f>
        <v>35291.210833005862</v>
      </c>
      <c r="O66" s="402">
        <f>'3 Statement Model'!P10</f>
        <v>37055.771374656157</v>
      </c>
      <c r="P66" s="402">
        <f>'3 Statement Model'!Q10</f>
        <v>38723.281086515679</v>
      </c>
      <c r="Q66" s="402">
        <f>'3 Statement Model'!R10</f>
        <v>40369.020532692593</v>
      </c>
      <c r="R66" s="402">
        <f>'3 Statement Model'!S10</f>
        <v>41983.781354000297</v>
      </c>
    </row>
    <row r="67" spans="1:18">
      <c r="B67" t="s">
        <v>109</v>
      </c>
      <c r="C67" s="402">
        <f ca="1">'3 Statement Model'!D62</f>
        <v>12449.6</v>
      </c>
      <c r="D67" s="402">
        <f ca="1">'3 Statement Model'!E62</f>
        <v>14559</v>
      </c>
      <c r="E67" s="402">
        <f ca="1">'3 Statement Model'!F62</f>
        <v>16139.9</v>
      </c>
      <c r="F67" s="402">
        <f ca="1">'3 Statement Model'!G62</f>
        <v>19198.2</v>
      </c>
      <c r="G67" s="402">
        <f ca="1">'3 Statement Model'!H62</f>
        <v>23114.799999999999</v>
      </c>
      <c r="H67" s="402">
        <f>'3 Statement Model'!I62</f>
        <v>28355.480734371409</v>
      </c>
      <c r="I67" s="402">
        <f>'3 Statement Model'!J62</f>
        <v>31689.177512123075</v>
      </c>
      <c r="J67" s="402">
        <f>'3 Statement Model'!K62</f>
        <v>35644.416995919324</v>
      </c>
      <c r="K67" s="402">
        <f>'3 Statement Model'!L62</f>
        <v>39752.408227877851</v>
      </c>
      <c r="L67" s="402">
        <f>'3 Statement Model'!M62</f>
        <v>43740.083616891148</v>
      </c>
      <c r="M67" s="402">
        <f>'3 Statement Model'!N62</f>
        <v>47369.118516243994</v>
      </c>
      <c r="N67" s="402">
        <f>'3 Statement Model'!O62</f>
        <v>50894.368572703665</v>
      </c>
      <c r="O67" s="402">
        <f>'3 Statement Model'!P62</f>
        <v>54169.480786691245</v>
      </c>
      <c r="P67" s="402">
        <f>'3 Statement Model'!Q62</f>
        <v>57143.96312343188</v>
      </c>
      <c r="Q67" s="402">
        <f>'3 Statement Model'!R62</f>
        <v>59794.682516598346</v>
      </c>
      <c r="R67" s="402">
        <f>'3 Statement Model'!S62</f>
        <v>62018.571629619662</v>
      </c>
    </row>
    <row r="68" spans="1:18">
      <c r="B68" s="24" t="s">
        <v>110</v>
      </c>
      <c r="C68" s="80">
        <f ca="1">C66/C67</f>
        <v>0.73528466778049095</v>
      </c>
      <c r="D68" s="80">
        <f t="shared" ref="D68:J68" ca="1" si="48">D66/D67</f>
        <v>0.59894223504361566</v>
      </c>
      <c r="E68" s="80">
        <f t="shared" ca="1" si="48"/>
        <v>0.63804608454823142</v>
      </c>
      <c r="F68" s="80">
        <f t="shared" ca="1" si="48"/>
        <v>0.75225802418976773</v>
      </c>
      <c r="G68" s="80">
        <f t="shared" ca="1" si="48"/>
        <v>0.71538581341824292</v>
      </c>
      <c r="H68" s="80">
        <f t="shared" si="48"/>
        <v>0.66551095983096664</v>
      </c>
      <c r="I68" s="80">
        <f t="shared" si="48"/>
        <v>0.68482420131282429</v>
      </c>
      <c r="J68" s="80">
        <f t="shared" si="48"/>
        <v>0.71233521222992102</v>
      </c>
      <c r="K68" s="80">
        <f t="shared" ref="K68:O68" si="49">K66/K67</f>
        <v>0.72388594992088073</v>
      </c>
      <c r="L68" s="80">
        <f t="shared" si="49"/>
        <v>0.72148719119859306</v>
      </c>
      <c r="M68" s="80">
        <f t="shared" si="49"/>
        <v>0.70618550067305275</v>
      </c>
      <c r="N68" s="80">
        <f t="shared" si="49"/>
        <v>0.69342074226918904</v>
      </c>
      <c r="O68" s="80">
        <f t="shared" si="49"/>
        <v>0.68407100892427775</v>
      </c>
      <c r="P68" s="80">
        <f t="shared" ref="P68:R68" si="50">P66/P67</f>
        <v>0.67764430343889115</v>
      </c>
      <c r="Q68" s="80">
        <f t="shared" si="50"/>
        <v>0.67512726606561713</v>
      </c>
      <c r="R68" s="80">
        <f t="shared" si="50"/>
        <v>0.67695498704373769</v>
      </c>
    </row>
    <row r="69" spans="1:18">
      <c r="B69" s="22"/>
      <c r="C69" s="81"/>
      <c r="D69" s="81"/>
      <c r="E69" s="81"/>
      <c r="F69" s="81"/>
      <c r="G69" s="81"/>
      <c r="H69" s="81"/>
      <c r="I69" s="81"/>
      <c r="J69" s="81"/>
      <c r="K69" s="81"/>
      <c r="L69" s="81"/>
      <c r="M69" s="81"/>
      <c r="N69" s="81"/>
      <c r="O69" s="81"/>
      <c r="P69" s="81"/>
      <c r="Q69" s="81"/>
      <c r="R69" s="81"/>
    </row>
    <row r="70" spans="1:18">
      <c r="B70" t="s">
        <v>112</v>
      </c>
      <c r="C70" s="81"/>
      <c r="D70" s="46">
        <f>D66-C66</f>
        <v>-434</v>
      </c>
      <c r="E70" s="46">
        <f t="shared" ref="E70:J70" si="51">E66-D66</f>
        <v>1578</v>
      </c>
      <c r="F70" s="46">
        <f t="shared" si="51"/>
        <v>4144</v>
      </c>
      <c r="G70" s="403">
        <f t="shared" si="51"/>
        <v>2094</v>
      </c>
      <c r="H70" s="403">
        <f t="shared" si="51"/>
        <v>2334.8832000000002</v>
      </c>
      <c r="I70" s="403">
        <f t="shared" si="51"/>
        <v>2830.6324799999966</v>
      </c>
      <c r="J70" s="403">
        <f t="shared" si="51"/>
        <v>3689.2576655999983</v>
      </c>
      <c r="K70" s="403">
        <f t="shared" ref="K70:K71" si="52">K66-J66</f>
        <v>3385.4364460799989</v>
      </c>
      <c r="L70" s="403">
        <f t="shared" ref="L70:L71" si="53">L66-K66</f>
        <v>2781.700279862398</v>
      </c>
      <c r="M70" s="403">
        <f t="shared" ref="M70:M71" si="54">M66-L66</f>
        <v>1893.4746042925472</v>
      </c>
      <c r="N70" s="403">
        <f t="shared" ref="N70:N71" si="55">N66-M66</f>
        <v>1839.8261571709227</v>
      </c>
      <c r="O70" s="403">
        <f t="shared" ref="O70:O71" si="56">O66-N66</f>
        <v>1764.5605416502949</v>
      </c>
      <c r="P70" s="403">
        <f t="shared" ref="P70:P71" si="57">P66-O66</f>
        <v>1667.5097118595222</v>
      </c>
      <c r="Q70" s="403">
        <f t="shared" ref="Q70:Q71" si="58">Q66-P66</f>
        <v>1645.7394461769145</v>
      </c>
      <c r="R70" s="403">
        <f t="shared" ref="R70:R71" si="59">R66-Q66</f>
        <v>1614.7608213077037</v>
      </c>
    </row>
    <row r="71" spans="1:18">
      <c r="B71" t="s">
        <v>113</v>
      </c>
      <c r="C71" s="81"/>
      <c r="D71" s="46">
        <f ca="1">D67-C67</f>
        <v>2109.3999999999996</v>
      </c>
      <c r="E71" s="46">
        <f t="shared" ref="E71:J71" ca="1" si="60">E67-D67</f>
        <v>1580.8999999999996</v>
      </c>
      <c r="F71" s="46">
        <f t="shared" ca="1" si="60"/>
        <v>3058.3000000000011</v>
      </c>
      <c r="G71" s="403">
        <f t="shared" ca="1" si="60"/>
        <v>3916.5999999999985</v>
      </c>
      <c r="H71" s="403">
        <f t="shared" ca="1" si="60"/>
        <v>5240.6807343714099</v>
      </c>
      <c r="I71" s="403">
        <f t="shared" si="60"/>
        <v>3333.6967777516656</v>
      </c>
      <c r="J71" s="403">
        <f t="shared" si="60"/>
        <v>3955.2394837962493</v>
      </c>
      <c r="K71" s="403">
        <f t="shared" si="52"/>
        <v>4107.9912319585274</v>
      </c>
      <c r="L71" s="403">
        <f t="shared" si="53"/>
        <v>3987.6753890132968</v>
      </c>
      <c r="M71" s="403">
        <f t="shared" si="54"/>
        <v>3629.034899352846</v>
      </c>
      <c r="N71" s="403">
        <f t="shared" si="55"/>
        <v>3525.2500564596703</v>
      </c>
      <c r="O71" s="403">
        <f t="shared" si="56"/>
        <v>3275.1122139875806</v>
      </c>
      <c r="P71" s="403">
        <f t="shared" si="57"/>
        <v>2974.4823367406352</v>
      </c>
      <c r="Q71" s="403">
        <f t="shared" si="58"/>
        <v>2650.719393166466</v>
      </c>
      <c r="R71" s="403">
        <f t="shared" si="59"/>
        <v>2223.889113021316</v>
      </c>
    </row>
    <row r="72" spans="1:18">
      <c r="B72" s="24" t="s">
        <v>114</v>
      </c>
      <c r="C72" s="80"/>
      <c r="D72" s="82">
        <f ca="1">D70/D71</f>
        <v>-0.2057457096804779</v>
      </c>
      <c r="E72" s="82">
        <f t="shared" ref="E72:J72" ca="1" si="61">E70/E71</f>
        <v>0.99816560187235137</v>
      </c>
      <c r="F72" s="82">
        <f t="shared" ca="1" si="61"/>
        <v>1.3550011444266419</v>
      </c>
      <c r="G72" s="82">
        <f t="shared" ca="1" si="61"/>
        <v>0.53464739825358754</v>
      </c>
      <c r="H72" s="82">
        <f t="shared" ca="1" si="61"/>
        <v>0.44553051756930889</v>
      </c>
      <c r="I72" s="82">
        <f t="shared" si="61"/>
        <v>0.84909716411252345</v>
      </c>
      <c r="J72" s="82">
        <f t="shared" si="61"/>
        <v>0.93275203201072399</v>
      </c>
      <c r="K72" s="82">
        <f t="shared" ref="K72:O72" si="62">K70/K71</f>
        <v>0.82410994934523196</v>
      </c>
      <c r="L72" s="82">
        <f t="shared" si="62"/>
        <v>0.69757440325419695</v>
      </c>
      <c r="M72" s="82">
        <f t="shared" si="62"/>
        <v>0.52175706677006728</v>
      </c>
      <c r="N72" s="82">
        <f t="shared" si="62"/>
        <v>0.52189947598174602</v>
      </c>
      <c r="O72" s="82">
        <f t="shared" si="62"/>
        <v>0.53877865134332958</v>
      </c>
      <c r="P72" s="82">
        <f t="shared" ref="P72:R72" si="63">P70/P71</f>
        <v>0.56060501394227091</v>
      </c>
      <c r="Q72" s="82">
        <f t="shared" si="63"/>
        <v>0.62086520754313634</v>
      </c>
      <c r="R72" s="82">
        <f t="shared" si="63"/>
        <v>0.72609772306224973</v>
      </c>
    </row>
    <row r="74" spans="1:18">
      <c r="B74" t="s">
        <v>48</v>
      </c>
      <c r="C74" s="402">
        <f>'3 Statement Model'!D11</f>
        <v>4996</v>
      </c>
      <c r="D74" s="402">
        <f>'3 Statement Model'!E11</f>
        <v>5112</v>
      </c>
      <c r="E74" s="402">
        <f>'3 Statement Model'!F11</f>
        <v>5956</v>
      </c>
      <c r="F74" s="402">
        <f>'3 Statement Model'!G11</f>
        <v>8212</v>
      </c>
      <c r="G74" s="402">
        <f>'3 Statement Model'!H11</f>
        <v>8981</v>
      </c>
      <c r="H74" s="402">
        <f>'3 Statement Model'!I11</f>
        <v>10462.017646079999</v>
      </c>
      <c r="I74" s="402">
        <f>'3 Statement Model'!J11</f>
        <v>12152.848780799999</v>
      </c>
      <c r="J74" s="402">
        <f>'3 Statement Model'!K11</f>
        <v>13964.925340079999</v>
      </c>
      <c r="K74" s="402">
        <f>'3 Statement Model'!L11</f>
        <v>15683.034336465595</v>
      </c>
      <c r="L74" s="402">
        <f>'3 Statement Model'!M11</f>
        <v>17356.850539348317</v>
      </c>
      <c r="M74" s="402">
        <f>'3 Statement Model'!N11</f>
        <v>18398.261571709219</v>
      </c>
      <c r="N74" s="402">
        <f>'3 Statement Model'!O11</f>
        <v>19410.165958153226</v>
      </c>
      <c r="O74" s="402">
        <f>'3 Statement Model'!P11</f>
        <v>20380.674256060887</v>
      </c>
      <c r="P74" s="402">
        <f>'3 Statement Model'!Q11</f>
        <v>21297.804597583625</v>
      </c>
      <c r="Q74" s="402">
        <f>'3 Statement Model'!R11</f>
        <v>22202.961292980926</v>
      </c>
      <c r="R74" s="402">
        <f>'3 Statement Model'!S11</f>
        <v>23091.079744700164</v>
      </c>
    </row>
    <row r="75" spans="1:18">
      <c r="B75" t="s">
        <v>7</v>
      </c>
      <c r="C75" s="402">
        <f>'3 Statement Model'!D48</f>
        <v>572</v>
      </c>
      <c r="D75" s="402">
        <f>'3 Statement Model'!E48</f>
        <v>875</v>
      </c>
      <c r="E75" s="402">
        <f>'3 Statement Model'!F48</f>
        <v>1132</v>
      </c>
      <c r="F75" s="402">
        <f>'3 Statement Model'!G48</f>
        <v>1278</v>
      </c>
      <c r="G75" s="402">
        <f>'3 Statement Model'!H48</f>
        <v>1410</v>
      </c>
      <c r="H75" s="402">
        <f>'3 Statement Model'!I48</f>
        <v>1564</v>
      </c>
      <c r="I75" s="402">
        <f>'3 Statement Model'!J48</f>
        <v>1997.7285667068493</v>
      </c>
      <c r="J75" s="402">
        <f>'3 Statement Model'!K48</f>
        <v>2295.6041654926025</v>
      </c>
      <c r="K75" s="402">
        <f>'3 Statement Model'!L48</f>
        <v>2524.324019910558</v>
      </c>
      <c r="L75" s="402">
        <f>'3 Statement Model'!M48</f>
        <v>2734.2983726370639</v>
      </c>
      <c r="M75" s="402">
        <f>'3 Statement Model'!N48</f>
        <v>2772.3407847781014</v>
      </c>
      <c r="N75" s="402">
        <f>'3 Statement Model'!O48</f>
        <v>2924.8195279408969</v>
      </c>
      <c r="O75" s="402">
        <f>'3 Statement Model'!P48</f>
        <v>3071.0605043379419</v>
      </c>
      <c r="P75" s="402">
        <f>'3 Statement Model'!Q48</f>
        <v>3209.2582270331491</v>
      </c>
      <c r="Q75" s="402">
        <f>'3 Statement Model'!R48</f>
        <v>3345.6517016820571</v>
      </c>
      <c r="R75" s="402">
        <f>'3 Statement Model'!S48</f>
        <v>3479.47776974934</v>
      </c>
    </row>
    <row r="76" spans="1:18">
      <c r="B76" s="24" t="s">
        <v>111</v>
      </c>
      <c r="C76" s="82">
        <f>C74/C75</f>
        <v>8.734265734265735</v>
      </c>
      <c r="D76" s="82">
        <f t="shared" ref="D76:J76" si="64">D74/D75</f>
        <v>5.8422857142857145</v>
      </c>
      <c r="E76" s="82">
        <f t="shared" si="64"/>
        <v>5.2614840989399294</v>
      </c>
      <c r="F76" s="82">
        <f t="shared" si="64"/>
        <v>6.4256651017214397</v>
      </c>
      <c r="G76" s="82">
        <f t="shared" si="64"/>
        <v>6.369503546099291</v>
      </c>
      <c r="H76" s="82">
        <f t="shared" si="64"/>
        <v>6.6892695946803062</v>
      </c>
      <c r="I76" s="82">
        <f t="shared" si="64"/>
        <v>6.083333333333333</v>
      </c>
      <c r="J76" s="82">
        <f t="shared" si="64"/>
        <v>6.083333333333333</v>
      </c>
      <c r="K76" s="82">
        <f t="shared" ref="K76:O76" si="65">K74/K75</f>
        <v>6.2127659574468082</v>
      </c>
      <c r="L76" s="82">
        <f t="shared" si="65"/>
        <v>6.3478260869565215</v>
      </c>
      <c r="M76" s="82">
        <f t="shared" si="65"/>
        <v>6.6363636363636367</v>
      </c>
      <c r="N76" s="82">
        <f t="shared" si="65"/>
        <v>6.6363636363636367</v>
      </c>
      <c r="O76" s="82">
        <f t="shared" si="65"/>
        <v>6.6363636363636367</v>
      </c>
      <c r="P76" s="82">
        <f t="shared" ref="P76:R76" si="66">P74/P75</f>
        <v>6.6363636363636358</v>
      </c>
      <c r="Q76" s="82">
        <f t="shared" si="66"/>
        <v>6.6363636363636367</v>
      </c>
      <c r="R76" s="82">
        <f t="shared" si="66"/>
        <v>6.6363636363636358</v>
      </c>
    </row>
    <row r="78" spans="1:18" ht="18">
      <c r="A78" t="s">
        <v>29</v>
      </c>
      <c r="B78" s="16" t="s">
        <v>115</v>
      </c>
      <c r="C78" s="70"/>
      <c r="D78" s="70"/>
      <c r="E78" s="70"/>
      <c r="F78" s="70"/>
      <c r="G78" s="70"/>
      <c r="H78" s="70"/>
      <c r="I78" s="70"/>
      <c r="J78" s="70"/>
      <c r="K78" s="70"/>
      <c r="L78" s="70"/>
      <c r="M78" s="70"/>
      <c r="N78" s="70"/>
      <c r="O78" s="70"/>
      <c r="P78" s="70"/>
      <c r="Q78" s="70"/>
      <c r="R78" s="70"/>
    </row>
    <row r="80" spans="1:18">
      <c r="B80" t="s">
        <v>94</v>
      </c>
      <c r="C80" s="403">
        <f>C30</f>
        <v>459.41176470588243</v>
      </c>
      <c r="D80" s="403">
        <f t="shared" ref="D80:J80" si="67">D30</f>
        <v>807.11764705882365</v>
      </c>
      <c r="E80" s="403">
        <f t="shared" si="67"/>
        <v>353.35294117647061</v>
      </c>
      <c r="F80" s="403">
        <f t="shared" si="67"/>
        <v>243.88235294117646</v>
      </c>
      <c r="G80" s="403">
        <f t="shared" si="67"/>
        <v>219.47058823529414</v>
      </c>
      <c r="H80" s="403">
        <f t="shared" si="67"/>
        <v>1490.7997728</v>
      </c>
      <c r="I80" s="403">
        <f t="shared" si="67"/>
        <v>1714.4197387199997</v>
      </c>
      <c r="J80" s="403">
        <f t="shared" si="67"/>
        <v>2005.8710943023996</v>
      </c>
      <c r="K80" s="403">
        <f t="shared" ref="K80:O80" si="68">K30</f>
        <v>2273.3205735427191</v>
      </c>
      <c r="L80" s="403">
        <f t="shared" si="68"/>
        <v>2493.0748956518487</v>
      </c>
      <c r="M80" s="403">
        <f t="shared" si="68"/>
        <v>2642.6593893909603</v>
      </c>
      <c r="N80" s="403">
        <f t="shared" si="68"/>
        <v>2788.005655807463</v>
      </c>
      <c r="O80" s="403">
        <f t="shared" si="68"/>
        <v>2927.4059385978362</v>
      </c>
      <c r="P80" s="403">
        <f t="shared" ref="P80:R80" si="69">P30</f>
        <v>3059.1392058347383</v>
      </c>
      <c r="Q80" s="403">
        <f t="shared" si="69"/>
        <v>3189.152622082715</v>
      </c>
      <c r="R80" s="403">
        <f t="shared" si="69"/>
        <v>3316.7187269660235</v>
      </c>
    </row>
    <row r="81" spans="2:18">
      <c r="B81" t="s">
        <v>100</v>
      </c>
      <c r="C81" s="403">
        <f>C44</f>
        <v>2180.3000000000002</v>
      </c>
      <c r="D81" s="403">
        <f t="shared" ref="D81:J81" si="70">D44</f>
        <v>1781.1</v>
      </c>
      <c r="E81" s="403">
        <f t="shared" si="70"/>
        <v>2173.1999999999998</v>
      </c>
      <c r="F81" s="403">
        <f t="shared" si="70"/>
        <v>3443.8</v>
      </c>
      <c r="G81" s="403">
        <f t="shared" si="70"/>
        <v>4324.7</v>
      </c>
      <c r="H81" s="403">
        <f t="shared" si="70"/>
        <v>4936.6230451200008</v>
      </c>
      <c r="I81" s="403">
        <f t="shared" si="70"/>
        <v>5555.5880140799982</v>
      </c>
      <c r="J81" s="403">
        <f t="shared" si="70"/>
        <v>6753.9457099295978</v>
      </c>
      <c r="K81" s="403">
        <f t="shared" ref="K81:O81" si="71">K44</f>
        <v>7798.3528535452806</v>
      </c>
      <c r="L81" s="403">
        <f t="shared" si="71"/>
        <v>8394.4040790302752</v>
      </c>
      <c r="M81" s="403">
        <f t="shared" si="71"/>
        <v>8898.0683237720914</v>
      </c>
      <c r="N81" s="403">
        <f t="shared" si="71"/>
        <v>9387.462081579557</v>
      </c>
      <c r="O81" s="403">
        <f t="shared" si="71"/>
        <v>9856.8351856585359</v>
      </c>
      <c r="P81" s="403">
        <f t="shared" ref="P81:R81" si="72">P44</f>
        <v>10300.39276901317</v>
      </c>
      <c r="Q81" s="403">
        <f t="shared" si="72"/>
        <v>10738.15946169623</v>
      </c>
      <c r="R81" s="403">
        <f t="shared" si="72"/>
        <v>11167.685840164078</v>
      </c>
    </row>
    <row r="82" spans="2:18">
      <c r="B82" s="24" t="s">
        <v>116</v>
      </c>
      <c r="C82" s="82">
        <f>C80/C81</f>
        <v>0.21071034477176645</v>
      </c>
      <c r="D82" s="82">
        <f t="shared" ref="D82:J82" si="73">D80/D81</f>
        <v>0.45315683962653625</v>
      </c>
      <c r="E82" s="82">
        <f t="shared" si="73"/>
        <v>0.16259568432563531</v>
      </c>
      <c r="F82" s="82">
        <f t="shared" si="73"/>
        <v>7.0817803862354506E-2</v>
      </c>
      <c r="G82" s="82">
        <f t="shared" si="73"/>
        <v>5.0748164782596285E-2</v>
      </c>
      <c r="H82" s="82">
        <f t="shared" si="73"/>
        <v>0.30198776758409779</v>
      </c>
      <c r="I82" s="82">
        <f t="shared" si="73"/>
        <v>0.30859375000000006</v>
      </c>
      <c r="J82" s="82">
        <f t="shared" si="73"/>
        <v>0.29699248120300753</v>
      </c>
      <c r="K82" s="82">
        <f t="shared" ref="K82:O82" si="74">K80/K81</f>
        <v>0.29151291512915117</v>
      </c>
      <c r="L82" s="82">
        <f t="shared" si="74"/>
        <v>0.29699248120300753</v>
      </c>
      <c r="M82" s="82">
        <f t="shared" si="74"/>
        <v>0.29699248120300759</v>
      </c>
      <c r="N82" s="82">
        <f t="shared" si="74"/>
        <v>0.29699248120300759</v>
      </c>
      <c r="O82" s="82">
        <f t="shared" si="74"/>
        <v>0.29699248120300753</v>
      </c>
      <c r="P82" s="82">
        <f t="shared" ref="P82:R82" si="75">P80/P81</f>
        <v>0.29699248120300753</v>
      </c>
      <c r="Q82" s="82">
        <f t="shared" si="75"/>
        <v>0.29699248120300753</v>
      </c>
      <c r="R82" s="82">
        <f t="shared" si="75"/>
        <v>0.29699248120300753</v>
      </c>
    </row>
    <row r="84" spans="2:18">
      <c r="B84" t="s">
        <v>102</v>
      </c>
      <c r="C84" s="403">
        <f t="shared" ref="C84:R84" si="76">C48</f>
        <v>1798.3000000000002</v>
      </c>
      <c r="D84" s="403">
        <f t="shared" si="76"/>
        <v>1330.1</v>
      </c>
      <c r="E84" s="403">
        <f t="shared" si="76"/>
        <v>1721.1999999999998</v>
      </c>
      <c r="F84" s="403">
        <f t="shared" si="76"/>
        <v>2917.8</v>
      </c>
      <c r="G84" s="403">
        <f t="shared" si="76"/>
        <v>3726.7</v>
      </c>
      <c r="H84" s="403">
        <f t="shared" si="76"/>
        <v>4224.4008228977782</v>
      </c>
      <c r="I84" s="403">
        <f t="shared" si="76"/>
        <v>4704.4769029688869</v>
      </c>
      <c r="J84" s="403">
        <f t="shared" si="76"/>
        <v>5789.9395210959738</v>
      </c>
      <c r="K84" s="403">
        <f t="shared" si="76"/>
        <v>6730.748828683938</v>
      </c>
      <c r="L84" s="403">
        <f t="shared" si="76"/>
        <v>7241.6771655661578</v>
      </c>
      <c r="M84" s="403">
        <f t="shared" si="76"/>
        <v>7687.3991406176701</v>
      </c>
      <c r="N84" s="403">
        <f t="shared" si="76"/>
        <v>8120.4923263760584</v>
      </c>
      <c r="O84" s="403">
        <f t="shared" si="76"/>
        <v>8535.8680636261488</v>
      </c>
      <c r="P84" s="403">
        <f t="shared" si="76"/>
        <v>8928.398135327483</v>
      </c>
      <c r="Q84" s="403">
        <f t="shared" si="76"/>
        <v>9315.8035088704964</v>
      </c>
      <c r="R84" s="403">
        <f t="shared" si="76"/>
        <v>9695.9165459703454</v>
      </c>
    </row>
    <row r="85" spans="2:18">
      <c r="B85" t="s">
        <v>117</v>
      </c>
      <c r="C85" s="403">
        <f>'3 Statement Model'!D30</f>
        <v>19</v>
      </c>
      <c r="D85" s="403">
        <f>'3 Statement Model'!E30</f>
        <v>16</v>
      </c>
      <c r="E85" s="403">
        <f>'3 Statement Model'!F30</f>
        <v>19</v>
      </c>
      <c r="F85" s="403">
        <f>'3 Statement Model'!G30</f>
        <v>28</v>
      </c>
      <c r="G85" s="403">
        <f>'3 Statement Model'!H30</f>
        <v>51</v>
      </c>
      <c r="H85" s="403">
        <f>'3 Statement Model'!I30</f>
        <v>15.765448519717648</v>
      </c>
      <c r="I85" s="403">
        <f>'3 Statement Model'!J30</f>
        <v>27.710948435039999</v>
      </c>
      <c r="J85" s="403">
        <f>'3 Statement Model'!K30</f>
        <v>32.164033404484798</v>
      </c>
      <c r="K85" s="403">
        <f>'3 Statement Model'!L30</f>
        <v>36.996049482762238</v>
      </c>
      <c r="L85" s="403">
        <f>'3 Statement Model'!M30</f>
        <v>41.208203866580895</v>
      </c>
      <c r="M85" s="403">
        <f>'3 Statement Model'!N30</f>
        <v>44.401348312458722</v>
      </c>
      <c r="N85" s="403">
        <f>'3 Statement Model'!O30</f>
        <v>46.951192732538267</v>
      </c>
      <c r="O85" s="403">
        <f>'3 Statement Model'!P30</f>
        <v>49.412988847833155</v>
      </c>
      <c r="P85" s="403">
        <f>'3 Statement Model'!Q30</f>
        <v>51.757092830980369</v>
      </c>
      <c r="Q85" s="403">
        <f>'3 Statement Model'!R30</f>
        <v>54.020042005919251</v>
      </c>
      <c r="R85" s="403">
        <f>'3 Statement Model'!S30</f>
        <v>56.246963688611245</v>
      </c>
    </row>
    <row r="86" spans="2:18">
      <c r="B86" s="24" t="s">
        <v>118</v>
      </c>
      <c r="C86" s="82">
        <f>C84/C85</f>
        <v>94.647368421052647</v>
      </c>
      <c r="D86" s="82">
        <f t="shared" ref="D86:J86" si="77">D84/D85</f>
        <v>83.131249999999994</v>
      </c>
      <c r="E86" s="82">
        <f t="shared" si="77"/>
        <v>90.589473684210517</v>
      </c>
      <c r="F86" s="82">
        <f t="shared" si="77"/>
        <v>104.20714285714287</v>
      </c>
      <c r="G86" s="82">
        <f t="shared" si="77"/>
        <v>73.072549019607834</v>
      </c>
      <c r="H86" s="82">
        <f t="shared" si="77"/>
        <v>267.95310121461966</v>
      </c>
      <c r="I86" s="82">
        <f t="shared" si="77"/>
        <v>169.76960979870901</v>
      </c>
      <c r="J86" s="82">
        <f t="shared" si="77"/>
        <v>180.0128562324106</v>
      </c>
      <c r="K86" s="82">
        <f t="shared" ref="K86:O86" si="78">K84/K85</f>
        <v>181.93155547107889</v>
      </c>
      <c r="L86" s="82">
        <f t="shared" si="78"/>
        <v>175.73387059073028</v>
      </c>
      <c r="M86" s="82">
        <f t="shared" si="78"/>
        <v>173.13436264413252</v>
      </c>
      <c r="N86" s="82">
        <f t="shared" si="78"/>
        <v>172.95603910714644</v>
      </c>
      <c r="O86" s="82">
        <f t="shared" si="78"/>
        <v>172.745431164107</v>
      </c>
      <c r="P86" s="82">
        <f t="shared" ref="P86:R86" si="79">P84/P85</f>
        <v>172.50578900334196</v>
      </c>
      <c r="Q86" s="82">
        <f t="shared" si="79"/>
        <v>172.45087495210976</v>
      </c>
      <c r="R86" s="82">
        <f t="shared" si="79"/>
        <v>172.38115464592718</v>
      </c>
    </row>
  </sheetData>
  <sheetProtection algorithmName="SHA-512" hashValue="L6hKgbbG19/oZt+udFtryeYx1WO1FCUx8ztPJFrxVGl10xHPaUwBwxpWRbEZ5mk/TTA0SWrN+sr9BLxwY1LERQ==" saltValue="5uu5wGUEDsdYKmwwVFFlAg==" spinCount="100000" sheet="1" objects="1" scenarios="1"/>
  <mergeCells count="3">
    <mergeCell ref="C5:G5"/>
    <mergeCell ref="H5:M5"/>
    <mergeCell ref="N5:R5"/>
  </mergeCells>
  <pageMargins left="0.7" right="0.7" top="0.75" bottom="0.75" header="0.3" footer="0.3"/>
  <pageSetup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9178C-17D0-44D5-B137-88387305EFE5}">
  <dimension ref="B2:R40"/>
  <sheetViews>
    <sheetView showGridLines="0" zoomScale="110" zoomScaleNormal="110" workbookViewId="0">
      <pane xSplit="2" topLeftCell="C1" activePane="topRight" state="frozen"/>
      <selection pane="topRight" activeCell="C49" sqref="C49"/>
    </sheetView>
  </sheetViews>
  <sheetFormatPr defaultRowHeight="14.4"/>
  <cols>
    <col min="1" max="1" width="1.88671875" customWidth="1"/>
    <col min="2" max="2" width="24.5546875" bestFit="1" customWidth="1"/>
    <col min="3" max="6" width="9" bestFit="1" customWidth="1"/>
    <col min="7" max="9" width="10" bestFit="1" customWidth="1"/>
  </cols>
  <sheetData>
    <row r="2" spans="2:18" ht="15.6">
      <c r="B2" s="432" t="s">
        <v>1053</v>
      </c>
      <c r="C2" s="432"/>
      <c r="D2" s="432"/>
      <c r="E2" s="432"/>
      <c r="F2" s="432"/>
      <c r="G2" s="432"/>
      <c r="H2" s="432"/>
      <c r="I2" s="432"/>
      <c r="J2" s="432"/>
      <c r="K2" s="432"/>
      <c r="L2" s="432"/>
      <c r="M2" s="432"/>
      <c r="N2" s="432"/>
      <c r="O2" s="432"/>
      <c r="P2" s="432"/>
      <c r="Q2" s="432"/>
      <c r="R2" s="432"/>
    </row>
    <row r="3" spans="2:18">
      <c r="C3" s="400">
        <f>'3 Statement Model'!D6</f>
        <v>2020</v>
      </c>
      <c r="D3" s="400">
        <f>'3 Statement Model'!E6</f>
        <v>2021</v>
      </c>
      <c r="E3" s="400">
        <f>'3 Statement Model'!F6</f>
        <v>2022</v>
      </c>
      <c r="F3" s="400">
        <f>'3 Statement Model'!G6</f>
        <v>2023</v>
      </c>
      <c r="G3" s="400">
        <f>'3 Statement Model'!H6</f>
        <v>2024</v>
      </c>
      <c r="H3" s="400">
        <f>'3 Statement Model'!I6</f>
        <v>2025</v>
      </c>
      <c r="I3" s="400">
        <f>'3 Statement Model'!J6</f>
        <v>2026</v>
      </c>
      <c r="J3" s="400">
        <f>'3 Statement Model'!K6</f>
        <v>2027</v>
      </c>
      <c r="K3" s="400">
        <f>'3 Statement Model'!L6</f>
        <v>2028</v>
      </c>
      <c r="L3" s="400">
        <f>'3 Statement Model'!M6</f>
        <v>2029</v>
      </c>
      <c r="M3" s="400">
        <f>'3 Statement Model'!N6</f>
        <v>2030</v>
      </c>
      <c r="N3" s="400">
        <f>'3 Statement Model'!O6</f>
        <v>2031</v>
      </c>
      <c r="O3" s="400">
        <f>'3 Statement Model'!P6</f>
        <v>2032</v>
      </c>
      <c r="P3" s="400">
        <f>'3 Statement Model'!Q6</f>
        <v>2033</v>
      </c>
      <c r="Q3" s="400">
        <f>'3 Statement Model'!R6</f>
        <v>2034</v>
      </c>
      <c r="R3" s="400">
        <f>'3 Statement Model'!S6</f>
        <v>2035</v>
      </c>
    </row>
    <row r="4" spans="2:18">
      <c r="B4" t="s">
        <v>104</v>
      </c>
      <c r="C4" s="399">
        <f>'3 Statement Model'!D35</f>
        <v>1828.3000000000002</v>
      </c>
      <c r="D4" s="399">
        <f>'3 Statement Model'!E35</f>
        <v>1346.1</v>
      </c>
      <c r="E4" s="399">
        <f>'3 Statement Model'!F35</f>
        <v>1677.1999999999998</v>
      </c>
      <c r="F4" s="399">
        <f>'3 Statement Model'!G35</f>
        <v>2913.8</v>
      </c>
      <c r="G4" s="399">
        <f>'3 Statement Model'!H35</f>
        <v>4000.7</v>
      </c>
      <c r="H4" s="399">
        <f>'3 Statement Model'!I35</f>
        <v>4709.0954507356801</v>
      </c>
      <c r="I4" s="399">
        <f>'3 Statement Model'!J35</f>
        <v>4758.0080908887603</v>
      </c>
      <c r="J4" s="399">
        <f>'3 Statement Model'!K35</f>
        <v>5460.916416320616</v>
      </c>
      <c r="K4" s="399">
        <f>'3 Statement Model'!L35</f>
        <v>6315.2440250264826</v>
      </c>
      <c r="L4" s="399">
        <f>'3 Statement Model'!M35</f>
        <v>6820.4576744940896</v>
      </c>
      <c r="M4" s="399">
        <f>'3 Statement Model'!N35</f>
        <v>7237.5606546414801</v>
      </c>
      <c r="N4" s="399">
        <f>'3 Statement Model'!O35</f>
        <v>7643.2603377179039</v>
      </c>
      <c r="O4" s="399">
        <f>'3 Statement Model'!P35</f>
        <v>8032.3510179432642</v>
      </c>
      <c r="P4" s="399">
        <f>'3 Statement Model'!Q35</f>
        <v>8400.0284307655838</v>
      </c>
      <c r="Q4" s="399">
        <f>'3 Statement Model'!R35</f>
        <v>8762.9435241196006</v>
      </c>
      <c r="R4" s="399">
        <f>'3 Statement Model'!S35</f>
        <v>9119.0223476413139</v>
      </c>
    </row>
    <row r="5" spans="2:18">
      <c r="B5" t="s">
        <v>1054</v>
      </c>
      <c r="C5" s="399">
        <f>(SUM(BS!F42:F43,BS!G42:G43)/2)</f>
        <v>9449.5</v>
      </c>
      <c r="D5" s="399">
        <f>('3 Statement Model'!E68+'3 Statement Model'!D68)/2</f>
        <v>10709.5</v>
      </c>
      <c r="E5" s="399">
        <f>('3 Statement Model'!F68+'3 Statement Model'!E68)/2</f>
        <v>12023</v>
      </c>
      <c r="F5" s="399">
        <f>('3 Statement Model'!G68+'3 Statement Model'!F68)/2</f>
        <v>13799</v>
      </c>
      <c r="G5" s="399">
        <f>('3 Statement Model'!H68+'3 Statement Model'!G68)/2</f>
        <v>16517.5</v>
      </c>
      <c r="H5" s="399">
        <f>('3 Statement Model'!I68+'3 Statement Model'!H68)/2</f>
        <v>19693.183407757489</v>
      </c>
      <c r="I5" s="399">
        <f>('3 Statement Model'!J68+'3 Statement Model'!I68)/2</f>
        <v>22887.719445053823</v>
      </c>
      <c r="J5" s="399">
        <f>('3 Statement Model'!K68+'3 Statement Model'!J68)/2</f>
        <v>26072.346999488855</v>
      </c>
      <c r="K5" s="399">
        <f>('3 Statement Model'!L68+'3 Statement Model'!K68)/2</f>
        <v>29447.31403126732</v>
      </c>
      <c r="L5" s="399">
        <f>('3 Statement Model'!M68+'3 Statement Model'!L68)/2</f>
        <v>32889.120556773123</v>
      </c>
      <c r="M5" s="399">
        <f>('3 Statement Model'!N68+'3 Statement Model'!M68)/2</f>
        <v>36222.686122690982</v>
      </c>
      <c r="N5" s="399">
        <f>('3 Statement Model'!O68+'3 Statement Model'!N68)/2</f>
        <v>39379.789337528891</v>
      </c>
      <c r="O5" s="399">
        <f>('3 Statement Model'!P68+'3 Statement Model'!O68)/2</f>
        <v>42314.102833212542</v>
      </c>
      <c r="P5" s="399">
        <f>('3 Statement Model'!Q68+'3 Statement Model'!P68)/2</f>
        <v>44979.768525967447</v>
      </c>
      <c r="Q5" s="399">
        <f>('3 Statement Model'!R68+'3 Statement Model'!Q68)/2</f>
        <v>47335.140731097235</v>
      </c>
      <c r="R5" s="399">
        <f>('3 Statement Model'!S68+'3 Statement Model'!R68)/2</f>
        <v>49342.410906376317</v>
      </c>
    </row>
    <row r="6" spans="2:18" ht="15" thickBot="1">
      <c r="B6" s="408" t="s">
        <v>1053</v>
      </c>
      <c r="C6" s="409">
        <f>C4/C5</f>
        <v>0.19348113656807239</v>
      </c>
      <c r="D6" s="409">
        <f t="shared" ref="D6:I6" si="0">D4/D5</f>
        <v>0.12569214249031233</v>
      </c>
      <c r="E6" s="409">
        <f t="shared" si="0"/>
        <v>0.13949929302170838</v>
      </c>
      <c r="F6" s="409">
        <f t="shared" si="0"/>
        <v>0.2111602290021016</v>
      </c>
      <c r="G6" s="409">
        <f t="shared" si="0"/>
        <v>0.24220977750870287</v>
      </c>
      <c r="H6" s="409">
        <f t="shared" si="0"/>
        <v>0.23912311957043395</v>
      </c>
      <c r="I6" s="409">
        <f t="shared" si="0"/>
        <v>0.20788476118432128</v>
      </c>
      <c r="J6" s="409">
        <f t="shared" ref="J6:O6" si="1">J4/J5</f>
        <v>0.20945242928945662</v>
      </c>
      <c r="K6" s="409">
        <f t="shared" si="1"/>
        <v>0.21445908507380068</v>
      </c>
      <c r="L6" s="409">
        <f t="shared" si="1"/>
        <v>0.20737731988669722</v>
      </c>
      <c r="M6" s="409">
        <f t="shared" si="1"/>
        <v>0.19980739777626966</v>
      </c>
      <c r="N6" s="409">
        <f t="shared" si="1"/>
        <v>0.19409094020810025</v>
      </c>
      <c r="O6" s="409">
        <f t="shared" si="1"/>
        <v>0.18982680667020152</v>
      </c>
      <c r="P6" s="409">
        <f t="shared" ref="P6:R6" si="2">P4/P5</f>
        <v>0.18675125964501418</v>
      </c>
      <c r="Q6" s="409">
        <f t="shared" si="2"/>
        <v>0.1851255407457299</v>
      </c>
      <c r="R6" s="409">
        <f t="shared" si="2"/>
        <v>0.18481104145770266</v>
      </c>
    </row>
    <row r="8" spans="2:18" ht="15.6">
      <c r="B8" s="432" t="s">
        <v>1055</v>
      </c>
      <c r="C8" s="432"/>
      <c r="D8" s="432"/>
      <c r="E8" s="432"/>
      <c r="F8" s="432"/>
      <c r="G8" s="432"/>
      <c r="H8" s="432"/>
      <c r="I8" s="432"/>
      <c r="J8" s="432"/>
      <c r="K8" s="432"/>
      <c r="L8" s="432"/>
      <c r="M8" s="432"/>
      <c r="N8" s="432"/>
      <c r="O8" s="432"/>
      <c r="P8" s="432"/>
      <c r="Q8" s="432"/>
      <c r="R8" s="432"/>
    </row>
    <row r="9" spans="2:18">
      <c r="C9" s="400">
        <f>C3</f>
        <v>2020</v>
      </c>
      <c r="D9" s="400">
        <f t="shared" ref="D9:R9" si="3">D3</f>
        <v>2021</v>
      </c>
      <c r="E9" s="400">
        <f t="shared" si="3"/>
        <v>2022</v>
      </c>
      <c r="F9" s="400">
        <f t="shared" si="3"/>
        <v>2023</v>
      </c>
      <c r="G9" s="400">
        <f t="shared" si="3"/>
        <v>2024</v>
      </c>
      <c r="H9" s="400">
        <f t="shared" si="3"/>
        <v>2025</v>
      </c>
      <c r="I9" s="400">
        <f t="shared" si="3"/>
        <v>2026</v>
      </c>
      <c r="J9" s="400">
        <f t="shared" si="3"/>
        <v>2027</v>
      </c>
      <c r="K9" s="400">
        <f t="shared" si="3"/>
        <v>2028</v>
      </c>
      <c r="L9" s="400">
        <f t="shared" si="3"/>
        <v>2029</v>
      </c>
      <c r="M9" s="400">
        <f t="shared" si="3"/>
        <v>2030</v>
      </c>
      <c r="N9" s="400">
        <f t="shared" si="3"/>
        <v>2031</v>
      </c>
      <c r="O9" s="400">
        <f t="shared" si="3"/>
        <v>2032</v>
      </c>
      <c r="P9" s="400">
        <f t="shared" si="3"/>
        <v>2033</v>
      </c>
      <c r="Q9" s="400">
        <f t="shared" si="3"/>
        <v>2034</v>
      </c>
      <c r="R9" s="400">
        <f t="shared" si="3"/>
        <v>2035</v>
      </c>
    </row>
    <row r="10" spans="2:18">
      <c r="B10" t="str">
        <f>B4</f>
        <v>Net Profit</v>
      </c>
      <c r="C10" s="399">
        <f t="shared" ref="C10" si="4">C4</f>
        <v>1828.3000000000002</v>
      </c>
      <c r="D10" s="399">
        <f t="shared" ref="D10:R10" si="5">D4</f>
        <v>1346.1</v>
      </c>
      <c r="E10" s="399">
        <f t="shared" si="5"/>
        <v>1677.1999999999998</v>
      </c>
      <c r="F10" s="399">
        <f t="shared" si="5"/>
        <v>2913.8</v>
      </c>
      <c r="G10" s="399">
        <f t="shared" si="5"/>
        <v>4000.7</v>
      </c>
      <c r="H10" s="399">
        <f t="shared" si="5"/>
        <v>4709.0954507356801</v>
      </c>
      <c r="I10" s="399">
        <f t="shared" si="5"/>
        <v>4758.0080908887603</v>
      </c>
      <c r="J10" s="399">
        <f t="shared" si="5"/>
        <v>5460.916416320616</v>
      </c>
      <c r="K10" s="399">
        <f t="shared" si="5"/>
        <v>6315.2440250264826</v>
      </c>
      <c r="L10" s="399">
        <f t="shared" si="5"/>
        <v>6820.4576744940896</v>
      </c>
      <c r="M10" s="399">
        <f t="shared" si="5"/>
        <v>7237.5606546414801</v>
      </c>
      <c r="N10" s="399">
        <f t="shared" si="5"/>
        <v>7643.2603377179039</v>
      </c>
      <c r="O10" s="399">
        <f t="shared" si="5"/>
        <v>8032.3510179432642</v>
      </c>
      <c r="P10" s="399">
        <f t="shared" si="5"/>
        <v>8400.0284307655838</v>
      </c>
      <c r="Q10" s="399">
        <f t="shared" si="5"/>
        <v>8762.9435241196006</v>
      </c>
      <c r="R10" s="399">
        <f t="shared" si="5"/>
        <v>9119.0223476413139</v>
      </c>
    </row>
    <row r="11" spans="2:18">
      <c r="B11" t="s">
        <v>43</v>
      </c>
      <c r="C11" s="399">
        <f>'3 Statement Model'!D10</f>
        <v>9154</v>
      </c>
      <c r="D11" s="399">
        <f>'3 Statement Model'!E10</f>
        <v>8720</v>
      </c>
      <c r="E11" s="399">
        <f>'3 Statement Model'!F10</f>
        <v>10298</v>
      </c>
      <c r="F11" s="399">
        <f>'3 Statement Model'!G10</f>
        <v>14442</v>
      </c>
      <c r="G11" s="399">
        <f>'3 Statement Model'!H10</f>
        <v>16536</v>
      </c>
      <c r="H11" s="399">
        <f>'3 Statement Model'!I10</f>
        <v>18870.8832</v>
      </c>
      <c r="I11" s="399">
        <f>'3 Statement Model'!J10</f>
        <v>21701.515679999997</v>
      </c>
      <c r="J11" s="399">
        <f>'3 Statement Model'!K10</f>
        <v>25390.773345599995</v>
      </c>
      <c r="K11" s="399">
        <f>'3 Statement Model'!L10</f>
        <v>28776.209791679994</v>
      </c>
      <c r="L11" s="399">
        <f>'3 Statement Model'!M10</f>
        <v>31557.910071542392</v>
      </c>
      <c r="M11" s="399">
        <f>'3 Statement Model'!N10</f>
        <v>33451.384675834939</v>
      </c>
      <c r="N11" s="399">
        <f>'3 Statement Model'!O10</f>
        <v>35291.210833005862</v>
      </c>
      <c r="O11" s="399">
        <f>'3 Statement Model'!P10</f>
        <v>37055.771374656157</v>
      </c>
      <c r="P11" s="399">
        <f>'3 Statement Model'!Q10</f>
        <v>38723.281086515679</v>
      </c>
      <c r="Q11" s="399">
        <f>'3 Statement Model'!R10</f>
        <v>40369.020532692593</v>
      </c>
      <c r="R11" s="399">
        <f>'3 Statement Model'!S10</f>
        <v>41983.781354000297</v>
      </c>
    </row>
    <row r="12" spans="2:18">
      <c r="B12" s="406" t="s">
        <v>1056</v>
      </c>
      <c r="C12" s="410">
        <f t="shared" ref="C12" si="6">C10/C11</f>
        <v>0.19972689534629673</v>
      </c>
      <c r="D12" s="410">
        <f t="shared" ref="D12:R12" si="7">D10/D11</f>
        <v>0.15436926605504586</v>
      </c>
      <c r="E12" s="410">
        <f t="shared" si="7"/>
        <v>0.16286657603418137</v>
      </c>
      <c r="F12" s="410">
        <f t="shared" si="7"/>
        <v>0.20175875917462957</v>
      </c>
      <c r="G12" s="410">
        <f t="shared" si="7"/>
        <v>0.24193880019351716</v>
      </c>
      <c r="H12" s="410">
        <f t="shared" si="7"/>
        <v>0.24954292816224308</v>
      </c>
      <c r="I12" s="410">
        <f t="shared" si="7"/>
        <v>0.21924773186573857</v>
      </c>
      <c r="J12" s="410">
        <f t="shared" si="7"/>
        <v>0.21507483612219108</v>
      </c>
      <c r="K12" s="410">
        <f t="shared" si="7"/>
        <v>0.21946059160481921</v>
      </c>
      <c r="L12" s="410">
        <f t="shared" si="7"/>
        <v>0.21612513816764103</v>
      </c>
      <c r="M12" s="410">
        <f t="shared" si="7"/>
        <v>0.21636056996677469</v>
      </c>
      <c r="N12" s="410">
        <f t="shared" si="7"/>
        <v>0.21657688011570284</v>
      </c>
      <c r="O12" s="410">
        <f t="shared" si="7"/>
        <v>0.21676383246030315</v>
      </c>
      <c r="P12" s="410">
        <f t="shared" si="7"/>
        <v>0.21692450110304995</v>
      </c>
      <c r="Q12" s="410">
        <f t="shared" si="7"/>
        <v>0.21707099673183763</v>
      </c>
      <c r="R12" s="410">
        <f t="shared" si="7"/>
        <v>0.21720345460908408</v>
      </c>
    </row>
    <row r="14" spans="2:18">
      <c r="B14" t="s">
        <v>43</v>
      </c>
      <c r="C14" s="399">
        <f>C11</f>
        <v>9154</v>
      </c>
      <c r="D14" s="399">
        <f t="shared" ref="D14:I14" si="8">D11</f>
        <v>8720</v>
      </c>
      <c r="E14" s="399">
        <f t="shared" si="8"/>
        <v>10298</v>
      </c>
      <c r="F14" s="399">
        <f t="shared" si="8"/>
        <v>14442</v>
      </c>
      <c r="G14" s="399">
        <f t="shared" si="8"/>
        <v>16536</v>
      </c>
      <c r="H14" s="399">
        <f t="shared" si="8"/>
        <v>18870.8832</v>
      </c>
      <c r="I14" s="399">
        <f t="shared" si="8"/>
        <v>21701.515679999997</v>
      </c>
      <c r="J14" s="399">
        <f t="shared" ref="J14:R14" si="9">J11</f>
        <v>25390.773345599995</v>
      </c>
      <c r="K14" s="399">
        <f t="shared" si="9"/>
        <v>28776.209791679994</v>
      </c>
      <c r="L14" s="399">
        <f t="shared" si="9"/>
        <v>31557.910071542392</v>
      </c>
      <c r="M14" s="399">
        <f t="shared" si="9"/>
        <v>33451.384675834939</v>
      </c>
      <c r="N14" s="399">
        <f t="shared" si="9"/>
        <v>35291.210833005862</v>
      </c>
      <c r="O14" s="399">
        <f t="shared" si="9"/>
        <v>37055.771374656157</v>
      </c>
      <c r="P14" s="399">
        <f t="shared" si="9"/>
        <v>38723.281086515679</v>
      </c>
      <c r="Q14" s="399">
        <f t="shared" si="9"/>
        <v>40369.020532692593</v>
      </c>
      <c r="R14" s="399">
        <f t="shared" si="9"/>
        <v>41983.781354000297</v>
      </c>
    </row>
    <row r="15" spans="2:18">
      <c r="B15" t="s">
        <v>1057</v>
      </c>
      <c r="C15" s="399">
        <f>(BS!F40+BS!G40)/2</f>
        <v>11918.5</v>
      </c>
      <c r="D15" s="399">
        <f ca="1">('3 Statement Model'!E62+'3 Statement Model'!D62)/2</f>
        <v>13504.3</v>
      </c>
      <c r="E15" s="399">
        <f ca="1">('3 Statement Model'!F62+'3 Statement Model'!E62)/2</f>
        <v>15349.45</v>
      </c>
      <c r="F15" s="399">
        <f ca="1">('3 Statement Model'!G62+'3 Statement Model'!F62)/2</f>
        <v>17669.05</v>
      </c>
      <c r="G15" s="399">
        <f ca="1">('3 Statement Model'!H62+'3 Statement Model'!G62)/2</f>
        <v>21156.5</v>
      </c>
      <c r="H15" s="399">
        <f ca="1">('3 Statement Model'!I62+'3 Statement Model'!H62)/2</f>
        <v>25735.140367185704</v>
      </c>
      <c r="I15" s="399">
        <f>('3 Statement Model'!J62+'3 Statement Model'!I62)/2</f>
        <v>30022.32912324724</v>
      </c>
      <c r="J15" s="399">
        <f>('3 Statement Model'!K62+'3 Statement Model'!J62)/2</f>
        <v>33666.797254021199</v>
      </c>
      <c r="K15" s="399">
        <f>('3 Statement Model'!L62+'3 Statement Model'!K62)/2</f>
        <v>37698.412611898588</v>
      </c>
      <c r="L15" s="399">
        <f>('3 Statement Model'!M62+'3 Statement Model'!L62)/2</f>
        <v>41746.2459223845</v>
      </c>
      <c r="M15" s="399">
        <f>('3 Statement Model'!N62+'3 Statement Model'!M62)/2</f>
        <v>45554.601066567571</v>
      </c>
      <c r="N15" s="399">
        <f>('3 Statement Model'!O62+'3 Statement Model'!N62)/2</f>
        <v>49131.743544473829</v>
      </c>
      <c r="O15" s="399">
        <f>('3 Statement Model'!P62+'3 Statement Model'!O62)/2</f>
        <v>52531.924679697455</v>
      </c>
      <c r="P15" s="399">
        <f>('3 Statement Model'!Q62+'3 Statement Model'!P62)/2</f>
        <v>55656.721955061563</v>
      </c>
      <c r="Q15" s="399">
        <f>('3 Statement Model'!R62+'3 Statement Model'!Q62)/2</f>
        <v>58469.322820015113</v>
      </c>
      <c r="R15" s="399">
        <f>('3 Statement Model'!S62+'3 Statement Model'!R62)/2</f>
        <v>60906.627073109004</v>
      </c>
    </row>
    <row r="16" spans="2:18">
      <c r="B16" s="406" t="s">
        <v>1058</v>
      </c>
      <c r="C16" s="410">
        <f t="shared" ref="C16:H16" si="10">C14/C15</f>
        <v>0.76804967068003527</v>
      </c>
      <c r="D16" s="410">
        <f t="shared" ca="1" si="10"/>
        <v>0.64572025206785988</v>
      </c>
      <c r="E16" s="410">
        <f t="shared" ca="1" si="10"/>
        <v>0.6709035177156184</v>
      </c>
      <c r="F16" s="410">
        <f t="shared" ca="1" si="10"/>
        <v>0.81736143142953355</v>
      </c>
      <c r="G16" s="410">
        <f t="shared" ca="1" si="10"/>
        <v>0.78160376243707608</v>
      </c>
      <c r="H16" s="410">
        <f t="shared" ca="1" si="10"/>
        <v>0.73327298513832229</v>
      </c>
      <c r="I16" s="410">
        <f>I14/I15</f>
        <v>0.72284583887250198</v>
      </c>
      <c r="J16" s="410">
        <f t="shared" ref="J16:R16" si="11">J14/J15</f>
        <v>0.75417846117118525</v>
      </c>
      <c r="K16" s="410">
        <f t="shared" si="11"/>
        <v>0.76332682991000744</v>
      </c>
      <c r="L16" s="410">
        <f t="shared" si="11"/>
        <v>0.75594605872383169</v>
      </c>
      <c r="M16" s="410">
        <f t="shared" si="11"/>
        <v>0.73431407349947886</v>
      </c>
      <c r="N16" s="410">
        <f t="shared" si="11"/>
        <v>0.71829754629123677</v>
      </c>
      <c r="O16" s="410">
        <f t="shared" si="11"/>
        <v>0.7053952734569704</v>
      </c>
      <c r="P16" s="410">
        <f t="shared" si="11"/>
        <v>0.69575209833201623</v>
      </c>
      <c r="Q16" s="410">
        <f t="shared" si="11"/>
        <v>0.6904307863622724</v>
      </c>
      <c r="R16" s="410">
        <f t="shared" si="11"/>
        <v>0.68931384598929191</v>
      </c>
    </row>
    <row r="18" spans="2:18">
      <c r="B18" t="s">
        <v>1057</v>
      </c>
      <c r="C18" s="399">
        <f>C15</f>
        <v>11918.5</v>
      </c>
      <c r="D18" s="399">
        <f t="shared" ref="D18:I18" ca="1" si="12">D15</f>
        <v>13504.3</v>
      </c>
      <c r="E18" s="399">
        <f t="shared" ca="1" si="12"/>
        <v>15349.45</v>
      </c>
      <c r="F18" s="399">
        <f t="shared" ca="1" si="12"/>
        <v>17669.05</v>
      </c>
      <c r="G18" s="399">
        <f t="shared" ca="1" si="12"/>
        <v>21156.5</v>
      </c>
      <c r="H18" s="399">
        <f t="shared" ca="1" si="12"/>
        <v>25735.140367185704</v>
      </c>
      <c r="I18" s="399">
        <f t="shared" si="12"/>
        <v>30022.32912324724</v>
      </c>
      <c r="J18" s="399">
        <f t="shared" ref="J18:R18" si="13">J15</f>
        <v>33666.797254021199</v>
      </c>
      <c r="K18" s="399">
        <f t="shared" si="13"/>
        <v>37698.412611898588</v>
      </c>
      <c r="L18" s="399">
        <f t="shared" si="13"/>
        <v>41746.2459223845</v>
      </c>
      <c r="M18" s="399">
        <f t="shared" si="13"/>
        <v>45554.601066567571</v>
      </c>
      <c r="N18" s="399">
        <f t="shared" si="13"/>
        <v>49131.743544473829</v>
      </c>
      <c r="O18" s="399">
        <f t="shared" si="13"/>
        <v>52531.924679697455</v>
      </c>
      <c r="P18" s="399">
        <f t="shared" si="13"/>
        <v>55656.721955061563</v>
      </c>
      <c r="Q18" s="399">
        <f t="shared" si="13"/>
        <v>58469.322820015113</v>
      </c>
      <c r="R18" s="399">
        <f t="shared" si="13"/>
        <v>60906.627073109004</v>
      </c>
    </row>
    <row r="19" spans="2:18">
      <c r="B19" t="str">
        <f>B5</f>
        <v>Average Shareholder Equity</v>
      </c>
      <c r="C19" s="399">
        <f>C5</f>
        <v>9449.5</v>
      </c>
      <c r="D19" s="399">
        <f t="shared" ref="D19:I19" si="14">D5</f>
        <v>10709.5</v>
      </c>
      <c r="E19" s="399">
        <f t="shared" si="14"/>
        <v>12023</v>
      </c>
      <c r="F19" s="399">
        <f t="shared" si="14"/>
        <v>13799</v>
      </c>
      <c r="G19" s="399">
        <f t="shared" si="14"/>
        <v>16517.5</v>
      </c>
      <c r="H19" s="399">
        <f t="shared" si="14"/>
        <v>19693.183407757489</v>
      </c>
      <c r="I19" s="399">
        <f t="shared" si="14"/>
        <v>22887.719445053823</v>
      </c>
      <c r="J19" s="399">
        <f t="shared" ref="J19:R19" si="15">J5</f>
        <v>26072.346999488855</v>
      </c>
      <c r="K19" s="399">
        <f t="shared" si="15"/>
        <v>29447.31403126732</v>
      </c>
      <c r="L19" s="399">
        <f t="shared" si="15"/>
        <v>32889.120556773123</v>
      </c>
      <c r="M19" s="399">
        <f t="shared" si="15"/>
        <v>36222.686122690982</v>
      </c>
      <c r="N19" s="399">
        <f t="shared" si="15"/>
        <v>39379.789337528891</v>
      </c>
      <c r="O19" s="399">
        <f t="shared" si="15"/>
        <v>42314.102833212542</v>
      </c>
      <c r="P19" s="399">
        <f t="shared" si="15"/>
        <v>44979.768525967447</v>
      </c>
      <c r="Q19" s="399">
        <f t="shared" si="15"/>
        <v>47335.140731097235</v>
      </c>
      <c r="R19" s="399">
        <f t="shared" si="15"/>
        <v>49342.410906376317</v>
      </c>
    </row>
    <row r="20" spans="2:18">
      <c r="B20" s="406" t="s">
        <v>1059</v>
      </c>
      <c r="C20" s="410">
        <f t="shared" ref="C20:H20" si="16">C18/C19</f>
        <v>1.2612836658024233</v>
      </c>
      <c r="D20" s="410">
        <f t="shared" ca="1" si="16"/>
        <v>1.2609645641719966</v>
      </c>
      <c r="E20" s="410">
        <f t="shared" ca="1" si="16"/>
        <v>1.2766738750727773</v>
      </c>
      <c r="F20" s="410">
        <f t="shared" ca="1" si="16"/>
        <v>1.280458728893398</v>
      </c>
      <c r="G20" s="410">
        <f t="shared" ca="1" si="16"/>
        <v>1.2808536400787045</v>
      </c>
      <c r="H20" s="410">
        <f t="shared" ca="1" si="16"/>
        <v>1.3068044832735464</v>
      </c>
      <c r="I20" s="410">
        <f>I18/I19</f>
        <v>1.3117221746500938</v>
      </c>
      <c r="J20" s="410">
        <f t="shared" ref="J20:R20" si="17">J18/J19</f>
        <v>1.2912837212039727</v>
      </c>
      <c r="K20" s="410">
        <f t="shared" si="17"/>
        <v>1.2801986820213962</v>
      </c>
      <c r="L20" s="410">
        <f t="shared" si="17"/>
        <v>1.2693025905123314</v>
      </c>
      <c r="M20" s="410">
        <f t="shared" si="17"/>
        <v>1.2576262542283079</v>
      </c>
      <c r="N20" s="410">
        <f t="shared" si="17"/>
        <v>1.2476385570110538</v>
      </c>
      <c r="O20" s="410">
        <f t="shared" si="17"/>
        <v>1.2414755639924591</v>
      </c>
      <c r="P20" s="410">
        <f t="shared" si="17"/>
        <v>1.2373723515924757</v>
      </c>
      <c r="Q20" s="410">
        <f t="shared" si="17"/>
        <v>1.2352202173047133</v>
      </c>
      <c r="R20" s="410">
        <f t="shared" si="17"/>
        <v>1.2343666625588068</v>
      </c>
    </row>
    <row r="22" spans="2:18" ht="15" thickBot="1">
      <c r="B22" s="408" t="s">
        <v>1060</v>
      </c>
      <c r="C22" s="411">
        <f t="shared" ref="C22:H22" si="18">C20*C16*C12</f>
        <v>0.19348113656807242</v>
      </c>
      <c r="D22" s="411">
        <f t="shared" ca="1" si="18"/>
        <v>0.12569214249031233</v>
      </c>
      <c r="E22" s="411">
        <f t="shared" ca="1" si="18"/>
        <v>0.13949929302170835</v>
      </c>
      <c r="F22" s="411">
        <f t="shared" ca="1" si="18"/>
        <v>0.2111602290021016</v>
      </c>
      <c r="G22" s="411">
        <f t="shared" ca="1" si="18"/>
        <v>0.2422097775087029</v>
      </c>
      <c r="H22" s="411">
        <f t="shared" ca="1" si="18"/>
        <v>0.23912311957043392</v>
      </c>
      <c r="I22" s="411">
        <f>I20*I16*I12</f>
        <v>0.20788476118432128</v>
      </c>
      <c r="J22" s="411">
        <f t="shared" ref="J22:R22" si="19">J20*J16*J12</f>
        <v>0.20945242928945665</v>
      </c>
      <c r="K22" s="411">
        <f t="shared" si="19"/>
        <v>0.21445908507380071</v>
      </c>
      <c r="L22" s="411">
        <f t="shared" si="19"/>
        <v>0.20737731988669725</v>
      </c>
      <c r="M22" s="411">
        <f t="shared" si="19"/>
        <v>0.19980739777626963</v>
      </c>
      <c r="N22" s="411">
        <f t="shared" si="19"/>
        <v>0.19409094020810025</v>
      </c>
      <c r="O22" s="411">
        <f t="shared" si="19"/>
        <v>0.18982680667020152</v>
      </c>
      <c r="P22" s="411">
        <f t="shared" si="19"/>
        <v>0.18675125964501418</v>
      </c>
      <c r="Q22" s="411">
        <f t="shared" si="19"/>
        <v>0.1851255407457299</v>
      </c>
      <c r="R22" s="411">
        <f t="shared" si="19"/>
        <v>0.18481104145770266</v>
      </c>
    </row>
    <row r="24" spans="2:18" ht="15.6">
      <c r="B24" s="432" t="s">
        <v>1061</v>
      </c>
      <c r="C24" s="432"/>
      <c r="D24" s="432"/>
      <c r="E24" s="432"/>
      <c r="F24" s="432"/>
      <c r="G24" s="432"/>
      <c r="H24" s="432"/>
      <c r="I24" s="432"/>
      <c r="J24" s="432"/>
      <c r="K24" s="432"/>
      <c r="L24" s="432"/>
      <c r="M24" s="432"/>
      <c r="N24" s="432"/>
      <c r="O24" s="432"/>
      <c r="P24" s="432"/>
      <c r="Q24" s="432"/>
      <c r="R24" s="432"/>
    </row>
    <row r="25" spans="2:18">
      <c r="C25" s="400">
        <f>C3</f>
        <v>2020</v>
      </c>
      <c r="D25" s="400">
        <f t="shared" ref="D25:R25" si="20">D3</f>
        <v>2021</v>
      </c>
      <c r="E25" s="400">
        <f t="shared" si="20"/>
        <v>2022</v>
      </c>
      <c r="F25" s="400">
        <f t="shared" si="20"/>
        <v>2023</v>
      </c>
      <c r="G25" s="400">
        <f t="shared" si="20"/>
        <v>2024</v>
      </c>
      <c r="H25" s="400">
        <f t="shared" si="20"/>
        <v>2025</v>
      </c>
      <c r="I25" s="400">
        <f t="shared" si="20"/>
        <v>2026</v>
      </c>
      <c r="J25" s="400">
        <f t="shared" si="20"/>
        <v>2027</v>
      </c>
      <c r="K25" s="400">
        <f t="shared" si="20"/>
        <v>2028</v>
      </c>
      <c r="L25" s="400">
        <f t="shared" si="20"/>
        <v>2029</v>
      </c>
      <c r="M25" s="400">
        <f t="shared" si="20"/>
        <v>2030</v>
      </c>
      <c r="N25" s="400">
        <f t="shared" si="20"/>
        <v>2031</v>
      </c>
      <c r="O25" s="400">
        <f t="shared" si="20"/>
        <v>2032</v>
      </c>
      <c r="P25" s="400">
        <f t="shared" si="20"/>
        <v>2033</v>
      </c>
      <c r="Q25" s="400">
        <f t="shared" si="20"/>
        <v>2034</v>
      </c>
      <c r="R25" s="400">
        <f t="shared" si="20"/>
        <v>2035</v>
      </c>
    </row>
    <row r="26" spans="2:18">
      <c r="B26" t="str">
        <f>B10</f>
        <v>Net Profit</v>
      </c>
      <c r="C26" s="399">
        <f>C10</f>
        <v>1828.3000000000002</v>
      </c>
      <c r="D26" s="399">
        <f t="shared" ref="D26:I26" si="21">D10</f>
        <v>1346.1</v>
      </c>
      <c r="E26" s="399">
        <f t="shared" si="21"/>
        <v>1677.1999999999998</v>
      </c>
      <c r="F26" s="399">
        <f t="shared" si="21"/>
        <v>2913.8</v>
      </c>
      <c r="G26" s="399">
        <f t="shared" si="21"/>
        <v>4000.7</v>
      </c>
      <c r="H26" s="399">
        <f t="shared" si="21"/>
        <v>4709.0954507356801</v>
      </c>
      <c r="I26" s="399">
        <f t="shared" si="21"/>
        <v>4758.0080908887603</v>
      </c>
      <c r="J26" s="399">
        <f t="shared" ref="J26:R26" si="22">J10</f>
        <v>5460.916416320616</v>
      </c>
      <c r="K26" s="399">
        <f t="shared" si="22"/>
        <v>6315.2440250264826</v>
      </c>
      <c r="L26" s="399">
        <f t="shared" si="22"/>
        <v>6820.4576744940896</v>
      </c>
      <c r="M26" s="399">
        <f t="shared" si="22"/>
        <v>7237.5606546414801</v>
      </c>
      <c r="N26" s="399">
        <f t="shared" si="22"/>
        <v>7643.2603377179039</v>
      </c>
      <c r="O26" s="399">
        <f t="shared" si="22"/>
        <v>8032.3510179432642</v>
      </c>
      <c r="P26" s="399">
        <f t="shared" si="22"/>
        <v>8400.0284307655838</v>
      </c>
      <c r="Q26" s="399">
        <f t="shared" si="22"/>
        <v>8762.9435241196006</v>
      </c>
      <c r="R26" s="399">
        <f t="shared" si="22"/>
        <v>9119.0223476413139</v>
      </c>
    </row>
    <row r="27" spans="2:18">
      <c r="B27" t="str">
        <f>B18</f>
        <v>Average Total Assets</v>
      </c>
      <c r="C27" s="399">
        <f>C18</f>
        <v>11918.5</v>
      </c>
      <c r="D27" s="399">
        <f t="shared" ref="D27:I27" ca="1" si="23">D18</f>
        <v>13504.3</v>
      </c>
      <c r="E27" s="399">
        <f t="shared" ca="1" si="23"/>
        <v>15349.45</v>
      </c>
      <c r="F27" s="399">
        <f t="shared" ca="1" si="23"/>
        <v>17669.05</v>
      </c>
      <c r="G27" s="399">
        <f t="shared" ca="1" si="23"/>
        <v>21156.5</v>
      </c>
      <c r="H27" s="399">
        <f t="shared" ca="1" si="23"/>
        <v>25735.140367185704</v>
      </c>
      <c r="I27" s="399">
        <f t="shared" si="23"/>
        <v>30022.32912324724</v>
      </c>
      <c r="J27" s="399">
        <f t="shared" ref="J27:R27" si="24">J18</f>
        <v>33666.797254021199</v>
      </c>
      <c r="K27" s="399">
        <f t="shared" si="24"/>
        <v>37698.412611898588</v>
      </c>
      <c r="L27" s="399">
        <f t="shared" si="24"/>
        <v>41746.2459223845</v>
      </c>
      <c r="M27" s="399">
        <f t="shared" si="24"/>
        <v>45554.601066567571</v>
      </c>
      <c r="N27" s="399">
        <f t="shared" si="24"/>
        <v>49131.743544473829</v>
      </c>
      <c r="O27" s="399">
        <f t="shared" si="24"/>
        <v>52531.924679697455</v>
      </c>
      <c r="P27" s="399">
        <f t="shared" si="24"/>
        <v>55656.721955061563</v>
      </c>
      <c r="Q27" s="399">
        <f t="shared" si="24"/>
        <v>58469.322820015113</v>
      </c>
      <c r="R27" s="399">
        <f t="shared" si="24"/>
        <v>60906.627073109004</v>
      </c>
    </row>
    <row r="28" spans="2:18" ht="15" thickBot="1">
      <c r="B28" s="408" t="s">
        <v>1061</v>
      </c>
      <c r="C28" s="411">
        <f>C26/C27</f>
        <v>0.15340017619666907</v>
      </c>
      <c r="D28" s="411">
        <f t="shared" ref="D28:I28" ca="1" si="25">D26/D27</f>
        <v>9.9679361388594748E-2</v>
      </c>
      <c r="E28" s="411">
        <f t="shared" ca="1" si="25"/>
        <v>0.10926775877963052</v>
      </c>
      <c r="F28" s="411">
        <f t="shared" ca="1" si="25"/>
        <v>0.16490982820242175</v>
      </c>
      <c r="G28" s="411">
        <f t="shared" ca="1" si="25"/>
        <v>0.189100276510765</v>
      </c>
      <c r="H28" s="411">
        <f t="shared" ca="1" si="25"/>
        <v>0.18298308785368589</v>
      </c>
      <c r="I28" s="411">
        <f t="shared" si="25"/>
        <v>0.15848231066138316</v>
      </c>
      <c r="J28" s="411">
        <f t="shared" ref="J28:R28" si="26">J26/J27</f>
        <v>0.16220480894327891</v>
      </c>
      <c r="K28" s="411">
        <f t="shared" si="26"/>
        <v>0.16752015767988143</v>
      </c>
      <c r="L28" s="411">
        <f t="shared" si="26"/>
        <v>0.1633789463889718</v>
      </c>
      <c r="M28" s="411">
        <f t="shared" si="26"/>
        <v>0.15887661147697132</v>
      </c>
      <c r="N28" s="411">
        <f t="shared" si="26"/>
        <v>0.15556664157052069</v>
      </c>
      <c r="O28" s="411">
        <f t="shared" si="26"/>
        <v>0.15290418287391644</v>
      </c>
      <c r="P28" s="411">
        <f t="shared" si="26"/>
        <v>0.15092567682207278</v>
      </c>
      <c r="Q28" s="411">
        <f t="shared" si="26"/>
        <v>0.14987249897000493</v>
      </c>
      <c r="R28" s="411">
        <f t="shared" si="26"/>
        <v>0.14972134865874834</v>
      </c>
    </row>
    <row r="30" spans="2:18" ht="15.6">
      <c r="B30" s="432" t="s">
        <v>1062</v>
      </c>
      <c r="C30" s="432"/>
      <c r="D30" s="432"/>
      <c r="E30" s="432"/>
      <c r="F30" s="432"/>
      <c r="G30" s="432"/>
      <c r="H30" s="432"/>
      <c r="I30" s="432"/>
      <c r="J30" s="432"/>
      <c r="K30" s="432"/>
      <c r="L30" s="432"/>
      <c r="M30" s="432"/>
      <c r="N30" s="432"/>
      <c r="O30" s="432"/>
      <c r="P30" s="432"/>
      <c r="Q30" s="432"/>
      <c r="R30" s="432"/>
    </row>
    <row r="31" spans="2:18">
      <c r="C31" s="400">
        <f>C25</f>
        <v>2020</v>
      </c>
      <c r="D31" s="400">
        <f t="shared" ref="D31:R31" si="27">D25</f>
        <v>2021</v>
      </c>
      <c r="E31" s="400">
        <f t="shared" si="27"/>
        <v>2022</v>
      </c>
      <c r="F31" s="400">
        <f t="shared" si="27"/>
        <v>2023</v>
      </c>
      <c r="G31" s="400">
        <f t="shared" si="27"/>
        <v>2024</v>
      </c>
      <c r="H31" s="400">
        <f t="shared" si="27"/>
        <v>2025</v>
      </c>
      <c r="I31" s="400">
        <f t="shared" si="27"/>
        <v>2026</v>
      </c>
      <c r="J31" s="400">
        <f t="shared" si="27"/>
        <v>2027</v>
      </c>
      <c r="K31" s="400">
        <f t="shared" si="27"/>
        <v>2028</v>
      </c>
      <c r="L31" s="400">
        <f t="shared" si="27"/>
        <v>2029</v>
      </c>
      <c r="M31" s="400">
        <f t="shared" si="27"/>
        <v>2030</v>
      </c>
      <c r="N31" s="400">
        <f t="shared" si="27"/>
        <v>2031</v>
      </c>
      <c r="O31" s="400">
        <f t="shared" si="27"/>
        <v>2032</v>
      </c>
      <c r="P31" s="400">
        <f t="shared" si="27"/>
        <v>2033</v>
      </c>
      <c r="Q31" s="400">
        <f t="shared" si="27"/>
        <v>2034</v>
      </c>
      <c r="R31" s="400">
        <f t="shared" si="27"/>
        <v>2035</v>
      </c>
    </row>
    <row r="32" spans="2:18">
      <c r="B32" t="str">
        <f>B26</f>
        <v>Net Profit</v>
      </c>
      <c r="C32" s="399">
        <f>C26</f>
        <v>1828.3000000000002</v>
      </c>
      <c r="D32" s="399">
        <f t="shared" ref="D32:R32" si="28">D26</f>
        <v>1346.1</v>
      </c>
      <c r="E32" s="399">
        <f t="shared" si="28"/>
        <v>1677.1999999999998</v>
      </c>
      <c r="F32" s="399">
        <f t="shared" si="28"/>
        <v>2913.8</v>
      </c>
      <c r="G32" s="399">
        <f t="shared" si="28"/>
        <v>4000.7</v>
      </c>
      <c r="H32" s="399">
        <f t="shared" si="28"/>
        <v>4709.0954507356801</v>
      </c>
      <c r="I32" s="399">
        <f t="shared" si="28"/>
        <v>4758.0080908887603</v>
      </c>
      <c r="J32" s="399">
        <f t="shared" si="28"/>
        <v>5460.916416320616</v>
      </c>
      <c r="K32" s="399">
        <f t="shared" si="28"/>
        <v>6315.2440250264826</v>
      </c>
      <c r="L32" s="399">
        <f t="shared" si="28"/>
        <v>6820.4576744940896</v>
      </c>
      <c r="M32" s="399">
        <f t="shared" si="28"/>
        <v>7237.5606546414801</v>
      </c>
      <c r="N32" s="399">
        <f t="shared" si="28"/>
        <v>7643.2603377179039</v>
      </c>
      <c r="O32" s="399">
        <f t="shared" si="28"/>
        <v>8032.3510179432642</v>
      </c>
      <c r="P32" s="399">
        <f t="shared" si="28"/>
        <v>8400.0284307655838</v>
      </c>
      <c r="Q32" s="399">
        <f t="shared" si="28"/>
        <v>8762.9435241196006</v>
      </c>
      <c r="R32" s="399">
        <f t="shared" si="28"/>
        <v>9119.0223476413139</v>
      </c>
    </row>
    <row r="33" spans="2:18">
      <c r="B33" t="s">
        <v>43</v>
      </c>
      <c r="C33" s="399">
        <f>C14</f>
        <v>9154</v>
      </c>
      <c r="D33" s="399">
        <f t="shared" ref="D33:R33" si="29">D14</f>
        <v>8720</v>
      </c>
      <c r="E33" s="399">
        <f t="shared" si="29"/>
        <v>10298</v>
      </c>
      <c r="F33" s="399">
        <f t="shared" si="29"/>
        <v>14442</v>
      </c>
      <c r="G33" s="399">
        <f t="shared" si="29"/>
        <v>16536</v>
      </c>
      <c r="H33" s="399">
        <f t="shared" si="29"/>
        <v>18870.8832</v>
      </c>
      <c r="I33" s="399">
        <f t="shared" si="29"/>
        <v>21701.515679999997</v>
      </c>
      <c r="J33" s="399">
        <f t="shared" si="29"/>
        <v>25390.773345599995</v>
      </c>
      <c r="K33" s="399">
        <f t="shared" si="29"/>
        <v>28776.209791679994</v>
      </c>
      <c r="L33" s="399">
        <f t="shared" si="29"/>
        <v>31557.910071542392</v>
      </c>
      <c r="M33" s="399">
        <f t="shared" si="29"/>
        <v>33451.384675834939</v>
      </c>
      <c r="N33" s="399">
        <f t="shared" si="29"/>
        <v>35291.210833005862</v>
      </c>
      <c r="O33" s="399">
        <f t="shared" si="29"/>
        <v>37055.771374656157</v>
      </c>
      <c r="P33" s="399">
        <f t="shared" si="29"/>
        <v>38723.281086515679</v>
      </c>
      <c r="Q33" s="399">
        <f t="shared" si="29"/>
        <v>40369.020532692593</v>
      </c>
      <c r="R33" s="399">
        <f t="shared" si="29"/>
        <v>41983.781354000297</v>
      </c>
    </row>
    <row r="34" spans="2:18">
      <c r="B34" s="406" t="s">
        <v>1056</v>
      </c>
      <c r="C34" s="410">
        <f t="shared" ref="C34" si="30">C32/C33</f>
        <v>0.19972689534629673</v>
      </c>
      <c r="D34" s="410">
        <f t="shared" ref="D34:R34" si="31">D32/D33</f>
        <v>0.15436926605504586</v>
      </c>
      <c r="E34" s="410">
        <f t="shared" si="31"/>
        <v>0.16286657603418137</v>
      </c>
      <c r="F34" s="410">
        <f t="shared" si="31"/>
        <v>0.20175875917462957</v>
      </c>
      <c r="G34" s="410">
        <f t="shared" si="31"/>
        <v>0.24193880019351716</v>
      </c>
      <c r="H34" s="410">
        <f t="shared" si="31"/>
        <v>0.24954292816224308</v>
      </c>
      <c r="I34" s="410">
        <f t="shared" si="31"/>
        <v>0.21924773186573857</v>
      </c>
      <c r="J34" s="410">
        <f t="shared" si="31"/>
        <v>0.21507483612219108</v>
      </c>
      <c r="K34" s="410">
        <f t="shared" si="31"/>
        <v>0.21946059160481921</v>
      </c>
      <c r="L34" s="410">
        <f t="shared" si="31"/>
        <v>0.21612513816764103</v>
      </c>
      <c r="M34" s="410">
        <f t="shared" si="31"/>
        <v>0.21636056996677469</v>
      </c>
      <c r="N34" s="410">
        <f t="shared" si="31"/>
        <v>0.21657688011570284</v>
      </c>
      <c r="O34" s="410">
        <f t="shared" si="31"/>
        <v>0.21676383246030315</v>
      </c>
      <c r="P34" s="410">
        <f t="shared" si="31"/>
        <v>0.21692450110304995</v>
      </c>
      <c r="Q34" s="410">
        <f t="shared" si="31"/>
        <v>0.21707099673183763</v>
      </c>
      <c r="R34" s="410">
        <f t="shared" si="31"/>
        <v>0.21720345460908408</v>
      </c>
    </row>
    <row r="36" spans="2:18">
      <c r="B36" t="s">
        <v>43</v>
      </c>
      <c r="C36" s="399">
        <f>C33</f>
        <v>9154</v>
      </c>
      <c r="D36" s="399">
        <f t="shared" ref="D36:R36" si="32">D33</f>
        <v>8720</v>
      </c>
      <c r="E36" s="399">
        <f t="shared" si="32"/>
        <v>10298</v>
      </c>
      <c r="F36" s="399">
        <f t="shared" si="32"/>
        <v>14442</v>
      </c>
      <c r="G36" s="399">
        <f t="shared" si="32"/>
        <v>16536</v>
      </c>
      <c r="H36" s="399">
        <f t="shared" si="32"/>
        <v>18870.8832</v>
      </c>
      <c r="I36" s="399">
        <f t="shared" si="32"/>
        <v>21701.515679999997</v>
      </c>
      <c r="J36" s="399">
        <f t="shared" si="32"/>
        <v>25390.773345599995</v>
      </c>
      <c r="K36" s="399">
        <f t="shared" si="32"/>
        <v>28776.209791679994</v>
      </c>
      <c r="L36" s="399">
        <f t="shared" si="32"/>
        <v>31557.910071542392</v>
      </c>
      <c r="M36" s="399">
        <f t="shared" si="32"/>
        <v>33451.384675834939</v>
      </c>
      <c r="N36" s="399">
        <f t="shared" si="32"/>
        <v>35291.210833005862</v>
      </c>
      <c r="O36" s="399">
        <f t="shared" si="32"/>
        <v>37055.771374656157</v>
      </c>
      <c r="P36" s="399">
        <f t="shared" si="32"/>
        <v>38723.281086515679</v>
      </c>
      <c r="Q36" s="399">
        <f t="shared" si="32"/>
        <v>40369.020532692593</v>
      </c>
      <c r="R36" s="399">
        <f t="shared" si="32"/>
        <v>41983.781354000297</v>
      </c>
    </row>
    <row r="37" spans="2:18">
      <c r="B37" t="s">
        <v>1057</v>
      </c>
      <c r="C37" s="399">
        <f>C27</f>
        <v>11918.5</v>
      </c>
      <c r="D37" s="399">
        <f t="shared" ref="D37:R37" ca="1" si="33">D27</f>
        <v>13504.3</v>
      </c>
      <c r="E37" s="399">
        <f t="shared" ca="1" si="33"/>
        <v>15349.45</v>
      </c>
      <c r="F37" s="399">
        <f t="shared" ca="1" si="33"/>
        <v>17669.05</v>
      </c>
      <c r="G37" s="399">
        <f t="shared" ca="1" si="33"/>
        <v>21156.5</v>
      </c>
      <c r="H37" s="399">
        <f t="shared" ca="1" si="33"/>
        <v>25735.140367185704</v>
      </c>
      <c r="I37" s="399">
        <f t="shared" si="33"/>
        <v>30022.32912324724</v>
      </c>
      <c r="J37" s="399">
        <f t="shared" si="33"/>
        <v>33666.797254021199</v>
      </c>
      <c r="K37" s="399">
        <f t="shared" si="33"/>
        <v>37698.412611898588</v>
      </c>
      <c r="L37" s="399">
        <f t="shared" si="33"/>
        <v>41746.2459223845</v>
      </c>
      <c r="M37" s="399">
        <f t="shared" si="33"/>
        <v>45554.601066567571</v>
      </c>
      <c r="N37" s="399">
        <f t="shared" si="33"/>
        <v>49131.743544473829</v>
      </c>
      <c r="O37" s="399">
        <f t="shared" si="33"/>
        <v>52531.924679697455</v>
      </c>
      <c r="P37" s="399">
        <f t="shared" si="33"/>
        <v>55656.721955061563</v>
      </c>
      <c r="Q37" s="399">
        <f t="shared" si="33"/>
        <v>58469.322820015113</v>
      </c>
      <c r="R37" s="399">
        <f t="shared" si="33"/>
        <v>60906.627073109004</v>
      </c>
    </row>
    <row r="38" spans="2:18">
      <c r="B38" s="406" t="s">
        <v>1058</v>
      </c>
      <c r="C38" s="410">
        <f t="shared" ref="C38" si="34">C36/C37</f>
        <v>0.76804967068003527</v>
      </c>
      <c r="D38" s="410">
        <f t="shared" ref="D38:R38" ca="1" si="35">D36/D37</f>
        <v>0.64572025206785988</v>
      </c>
      <c r="E38" s="410">
        <f t="shared" ca="1" si="35"/>
        <v>0.6709035177156184</v>
      </c>
      <c r="F38" s="410">
        <f t="shared" ca="1" si="35"/>
        <v>0.81736143142953355</v>
      </c>
      <c r="G38" s="410">
        <f t="shared" ca="1" si="35"/>
        <v>0.78160376243707608</v>
      </c>
      <c r="H38" s="410">
        <f t="shared" ca="1" si="35"/>
        <v>0.73327298513832229</v>
      </c>
      <c r="I38" s="410">
        <f t="shared" si="35"/>
        <v>0.72284583887250198</v>
      </c>
      <c r="J38" s="410">
        <f t="shared" si="35"/>
        <v>0.75417846117118525</v>
      </c>
      <c r="K38" s="410">
        <f t="shared" si="35"/>
        <v>0.76332682991000744</v>
      </c>
      <c r="L38" s="410">
        <f t="shared" si="35"/>
        <v>0.75594605872383169</v>
      </c>
      <c r="M38" s="410">
        <f t="shared" si="35"/>
        <v>0.73431407349947886</v>
      </c>
      <c r="N38" s="410">
        <f t="shared" si="35"/>
        <v>0.71829754629123677</v>
      </c>
      <c r="O38" s="410">
        <f t="shared" si="35"/>
        <v>0.7053952734569704</v>
      </c>
      <c r="P38" s="410">
        <f t="shared" si="35"/>
        <v>0.69575209833201623</v>
      </c>
      <c r="Q38" s="410">
        <f t="shared" si="35"/>
        <v>0.6904307863622724</v>
      </c>
      <c r="R38" s="410">
        <f t="shared" si="35"/>
        <v>0.68931384598929191</v>
      </c>
    </row>
    <row r="40" spans="2:18" ht="15" thickBot="1">
      <c r="B40" s="407" t="s">
        <v>1063</v>
      </c>
      <c r="C40" s="412">
        <f>C38*C34</f>
        <v>0.15340017619666907</v>
      </c>
      <c r="D40" s="412">
        <f t="shared" ref="D40:R40" ca="1" si="36">D38*D34</f>
        <v>9.9679361388594734E-2</v>
      </c>
      <c r="E40" s="412">
        <f t="shared" ca="1" si="36"/>
        <v>0.10926775877963051</v>
      </c>
      <c r="F40" s="412">
        <f t="shared" ca="1" si="36"/>
        <v>0.16490982820242175</v>
      </c>
      <c r="G40" s="412">
        <f t="shared" ca="1" si="36"/>
        <v>0.189100276510765</v>
      </c>
      <c r="H40" s="412">
        <f t="shared" ca="1" si="36"/>
        <v>0.18298308785368589</v>
      </c>
      <c r="I40" s="412">
        <f t="shared" si="36"/>
        <v>0.15848231066138319</v>
      </c>
      <c r="J40" s="412">
        <f t="shared" si="36"/>
        <v>0.16220480894327891</v>
      </c>
      <c r="K40" s="412">
        <f t="shared" si="36"/>
        <v>0.16752015767988143</v>
      </c>
      <c r="L40" s="412">
        <f t="shared" si="36"/>
        <v>0.1633789463889718</v>
      </c>
      <c r="M40" s="412">
        <f t="shared" si="36"/>
        <v>0.15887661147697132</v>
      </c>
      <c r="N40" s="412">
        <f t="shared" si="36"/>
        <v>0.15556664157052069</v>
      </c>
      <c r="O40" s="412">
        <f t="shared" si="36"/>
        <v>0.15290418287391647</v>
      </c>
      <c r="P40" s="412">
        <f t="shared" si="36"/>
        <v>0.15092567682207278</v>
      </c>
      <c r="Q40" s="412">
        <f t="shared" si="36"/>
        <v>0.14987249897000493</v>
      </c>
      <c r="R40" s="412">
        <f t="shared" si="36"/>
        <v>0.14972134865874834</v>
      </c>
    </row>
  </sheetData>
  <sheetProtection algorithmName="SHA-512" hashValue="+XcgIJOiDSpnALt7JDh3G/4K1unLjENYuOjUta75uo+pcZ+i8/gToTJiTyLB8VcaE/qZL9K0blIYrRQczrpUxw==" saltValue="art/PQ4GmTF7nT9ELNUQ1w==" spinCount="100000" sheet="1" objects="1" scenarios="1"/>
  <mergeCells count="4">
    <mergeCell ref="B2:R2"/>
    <mergeCell ref="B8:R8"/>
    <mergeCell ref="B24:R24"/>
    <mergeCell ref="B30:R3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4801C-0B30-40F7-B914-9A923A6D9147}">
  <sheetPr>
    <tabColor rgb="FF002060"/>
  </sheetPr>
  <dimension ref="A1"/>
  <sheetViews>
    <sheetView workbookViewId="0">
      <selection activeCell="M13" sqref="M13"/>
    </sheetView>
  </sheetViews>
  <sheetFormatPr defaultRowHeight="14.4"/>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01B9E-4DF8-49A0-9754-937D83E072D0}">
  <dimension ref="A2:U84"/>
  <sheetViews>
    <sheetView showGridLines="0" tabSelected="1" zoomScale="110" zoomScaleNormal="110" workbookViewId="0">
      <pane xSplit="2" ySplit="6" topLeftCell="C13" activePane="bottomRight" state="frozen"/>
      <selection pane="topRight" activeCell="C1" sqref="C1"/>
      <selection pane="bottomLeft" activeCell="A8" sqref="A8"/>
      <selection pane="bottomRight" activeCell="C44" sqref="C44"/>
    </sheetView>
  </sheetViews>
  <sheetFormatPr defaultRowHeight="14.4"/>
  <cols>
    <col min="1" max="1" width="2.5546875" customWidth="1"/>
    <col min="2" max="2" width="40.5546875" customWidth="1"/>
    <col min="3" max="5" width="13.6640625" customWidth="1"/>
    <col min="6" max="6" width="14.6640625" customWidth="1"/>
    <col min="7" max="18" width="11.88671875" customWidth="1"/>
  </cols>
  <sheetData>
    <row r="2" spans="1:21" ht="21">
      <c r="B2" s="10" t="str">
        <f>'Input Sheet'!C4</f>
        <v>Eicher Motors Ltd.</v>
      </c>
      <c r="U2" s="398" t="s">
        <v>125</v>
      </c>
    </row>
    <row r="3" spans="1:21" ht="18">
      <c r="B3" s="15" t="s">
        <v>119</v>
      </c>
      <c r="U3" s="398" t="s">
        <v>128</v>
      </c>
    </row>
    <row r="4" spans="1:21" ht="15" customHeight="1">
      <c r="B4" s="15"/>
      <c r="U4" s="398" t="s">
        <v>126</v>
      </c>
    </row>
    <row r="5" spans="1:21">
      <c r="C5" s="428" t="s">
        <v>27</v>
      </c>
      <c r="D5" s="428"/>
      <c r="E5" s="428"/>
      <c r="F5" s="428"/>
      <c r="G5" s="428"/>
      <c r="H5" s="424" t="s">
        <v>28</v>
      </c>
      <c r="I5" s="424"/>
      <c r="J5" s="424"/>
      <c r="K5" s="424"/>
      <c r="L5" s="424"/>
      <c r="M5" s="424"/>
      <c r="N5" s="426" t="s">
        <v>983</v>
      </c>
      <c r="O5" s="426"/>
      <c r="P5" s="426"/>
      <c r="Q5" s="426"/>
      <c r="R5" s="426"/>
    </row>
    <row r="6" spans="1:21">
      <c r="B6" s="12" t="s">
        <v>26</v>
      </c>
      <c r="C6" s="353">
        <f>'3 Statement Model'!D6</f>
        <v>2020</v>
      </c>
      <c r="D6" s="353">
        <f>'3 Statement Model'!E6</f>
        <v>2021</v>
      </c>
      <c r="E6" s="353">
        <f>'3 Statement Model'!F6</f>
        <v>2022</v>
      </c>
      <c r="F6" s="353">
        <f>'3 Statement Model'!G6</f>
        <v>2023</v>
      </c>
      <c r="G6" s="353">
        <f>'3 Statement Model'!H6</f>
        <v>2024</v>
      </c>
      <c r="H6" s="353">
        <f>'3 Statement Model'!I6</f>
        <v>2025</v>
      </c>
      <c r="I6" s="353">
        <f>'3 Statement Model'!J6</f>
        <v>2026</v>
      </c>
      <c r="J6" s="353">
        <f>'3 Statement Model'!K6</f>
        <v>2027</v>
      </c>
      <c r="K6" s="353">
        <f>'3 Statement Model'!L6</f>
        <v>2028</v>
      </c>
      <c r="L6" s="353">
        <f>'3 Statement Model'!M6</f>
        <v>2029</v>
      </c>
      <c r="M6" s="353">
        <f>'3 Statement Model'!N6</f>
        <v>2030</v>
      </c>
      <c r="N6" s="353">
        <f>'3 Statement Model'!O6</f>
        <v>2031</v>
      </c>
      <c r="O6" s="353">
        <f>'3 Statement Model'!P6</f>
        <v>2032</v>
      </c>
      <c r="P6" s="353">
        <f>'3 Statement Model'!Q6</f>
        <v>2033</v>
      </c>
      <c r="Q6" s="353">
        <f>'3 Statement Model'!R6</f>
        <v>2034</v>
      </c>
      <c r="R6" s="353">
        <f>'3 Statement Model'!S6</f>
        <v>2035</v>
      </c>
    </row>
    <row r="7" spans="1:21">
      <c r="B7" s="66"/>
      <c r="G7" s="68"/>
      <c r="H7" s="68"/>
      <c r="I7" s="68"/>
      <c r="J7" s="68"/>
      <c r="K7" s="68"/>
      <c r="L7" s="68"/>
      <c r="M7" s="68"/>
      <c r="N7" s="68"/>
      <c r="O7" s="68"/>
      <c r="P7" s="68"/>
      <c r="Q7" s="68"/>
      <c r="R7" s="68"/>
    </row>
    <row r="8" spans="1:21" ht="15.9" customHeight="1">
      <c r="A8" t="s">
        <v>29</v>
      </c>
      <c r="B8" s="16" t="s">
        <v>120</v>
      </c>
      <c r="C8" s="69"/>
      <c r="D8" s="69"/>
      <c r="E8" s="69"/>
      <c r="F8" s="69"/>
      <c r="G8" s="70"/>
      <c r="H8" s="70"/>
      <c r="I8" s="70"/>
      <c r="J8" s="70"/>
      <c r="K8" s="70"/>
      <c r="L8" s="70"/>
      <c r="M8" s="70"/>
      <c r="N8" s="70"/>
      <c r="O8" s="70"/>
      <c r="P8" s="70"/>
      <c r="Q8" s="70"/>
      <c r="R8" s="70"/>
    </row>
    <row r="10" spans="1:21">
      <c r="B10" t="s">
        <v>100</v>
      </c>
      <c r="C10" s="147">
        <f>'3 Statement Model'!D23</f>
        <v>2180.3000000000002</v>
      </c>
      <c r="D10" s="147">
        <f>'3 Statement Model'!E23</f>
        <v>1781.1</v>
      </c>
      <c r="E10" s="147">
        <f>'3 Statement Model'!F23</f>
        <v>2173.1999999999998</v>
      </c>
      <c r="F10" s="147">
        <f>'3 Statement Model'!G23</f>
        <v>3443.8</v>
      </c>
      <c r="G10" s="147">
        <f>'3 Statement Model'!H23</f>
        <v>4324.7</v>
      </c>
      <c r="H10" s="147">
        <f>'3 Statement Model'!I23</f>
        <v>4936.6230451200008</v>
      </c>
      <c r="I10" s="147">
        <f>'3 Statement Model'!J23</f>
        <v>5555.5880140799982</v>
      </c>
      <c r="J10" s="147">
        <f>'3 Statement Model'!K23</f>
        <v>6753.9457099295978</v>
      </c>
      <c r="K10" s="147">
        <f>'3 Statement Model'!L23</f>
        <v>7798.3528535452806</v>
      </c>
      <c r="L10" s="147">
        <f>'3 Statement Model'!M23</f>
        <v>8394.4040790302752</v>
      </c>
      <c r="M10" s="147">
        <f>'3 Statement Model'!N23</f>
        <v>8898.0683237720914</v>
      </c>
      <c r="N10" s="147">
        <f>'3 Statement Model'!O23</f>
        <v>9387.462081579557</v>
      </c>
      <c r="O10" s="147">
        <f>'3 Statement Model'!P23</f>
        <v>9856.8351856585359</v>
      </c>
      <c r="P10" s="147">
        <f>'3 Statement Model'!Q23</f>
        <v>10300.39276901317</v>
      </c>
      <c r="Q10" s="147">
        <f>'3 Statement Model'!R23</f>
        <v>10738.15946169623</v>
      </c>
      <c r="R10" s="147">
        <f>'3 Statement Model'!S23</f>
        <v>11167.685840164078</v>
      </c>
    </row>
    <row r="11" spans="1:21">
      <c r="B11" s="42" t="s">
        <v>943</v>
      </c>
      <c r="C11" s="147">
        <f>('3 Statement Model'!D25)*-1</f>
        <v>-382</v>
      </c>
      <c r="D11" s="147">
        <f>('3 Statement Model'!E25)*-1</f>
        <v>-451</v>
      </c>
      <c r="E11" s="147">
        <f>('3 Statement Model'!F25)*-1</f>
        <v>-452</v>
      </c>
      <c r="F11" s="147">
        <f>('3 Statement Model'!G25)*-1</f>
        <v>-526</v>
      </c>
      <c r="G11" s="147">
        <f>('3 Statement Model'!H25)*-1</f>
        <v>-598</v>
      </c>
      <c r="H11" s="147">
        <f>('3 Statement Model'!I25)*-1</f>
        <v>-712.22222222222217</v>
      </c>
      <c r="I11" s="147">
        <f>('3 Statement Model'!J25)*-1</f>
        <v>-851.11111111111109</v>
      </c>
      <c r="J11" s="147">
        <f>('3 Statement Model'!K25)*-1</f>
        <v>-964.00618883362449</v>
      </c>
      <c r="K11" s="147">
        <f>('3 Statement Model'!L25)*-1</f>
        <v>-1067.6040248613426</v>
      </c>
      <c r="L11" s="147">
        <f>('3 Statement Model'!M25)*-1</f>
        <v>-1152.7269134641178</v>
      </c>
      <c r="M11" s="147">
        <f>('3 Statement Model'!N25)*-1</f>
        <v>-1210.6691831544208</v>
      </c>
      <c r="N11" s="147">
        <f>('3 Statement Model'!O25)*-1</f>
        <v>-1266.9697552034984</v>
      </c>
      <c r="O11" s="147">
        <f>('3 Statement Model'!P25)*-1</f>
        <v>-1320.9671220323864</v>
      </c>
      <c r="P11" s="147">
        <f>('3 Statement Model'!Q25)*-1</f>
        <v>-1371.9946336856856</v>
      </c>
      <c r="Q11" s="147">
        <f>('3 Statement Model'!R25)*-1</f>
        <v>-1422.3559528257333</v>
      </c>
      <c r="R11" s="147">
        <f>('3 Statement Model'!S25)*-1</f>
        <v>-1471.7692941937332</v>
      </c>
    </row>
    <row r="12" spans="1:21">
      <c r="B12" s="24" t="s">
        <v>102</v>
      </c>
      <c r="C12" s="172">
        <f>SUM(C10:C11)</f>
        <v>1798.3000000000002</v>
      </c>
      <c r="D12" s="172">
        <f t="shared" ref="D12:M12" si="0">SUM(D10:D11)</f>
        <v>1330.1</v>
      </c>
      <c r="E12" s="172">
        <f t="shared" si="0"/>
        <v>1721.1999999999998</v>
      </c>
      <c r="F12" s="172">
        <f t="shared" si="0"/>
        <v>2917.8</v>
      </c>
      <c r="G12" s="172">
        <f t="shared" si="0"/>
        <v>3726.7</v>
      </c>
      <c r="H12" s="172">
        <f t="shared" si="0"/>
        <v>4224.4008228977782</v>
      </c>
      <c r="I12" s="172">
        <f t="shared" si="0"/>
        <v>4704.4769029688869</v>
      </c>
      <c r="J12" s="172">
        <f t="shared" si="0"/>
        <v>5789.9395210959738</v>
      </c>
      <c r="K12" s="172">
        <f t="shared" si="0"/>
        <v>6730.748828683938</v>
      </c>
      <c r="L12" s="172">
        <f t="shared" si="0"/>
        <v>7241.6771655661578</v>
      </c>
      <c r="M12" s="172">
        <f t="shared" si="0"/>
        <v>7687.3991406176701</v>
      </c>
      <c r="N12" s="172">
        <f t="shared" ref="N12:R12" si="1">SUM(N10:N11)</f>
        <v>8120.4923263760584</v>
      </c>
      <c r="O12" s="172">
        <f t="shared" si="1"/>
        <v>8535.8680636261488</v>
      </c>
      <c r="P12" s="172">
        <f t="shared" si="1"/>
        <v>8928.398135327483</v>
      </c>
      <c r="Q12" s="172">
        <f t="shared" si="1"/>
        <v>9315.8035088704964</v>
      </c>
      <c r="R12" s="172">
        <f t="shared" si="1"/>
        <v>9695.9165459703454</v>
      </c>
    </row>
    <row r="13" spans="1:21">
      <c r="B13" s="42" t="s">
        <v>122</v>
      </c>
      <c r="C13" s="147">
        <f>('3 Statement Model'!D34)*-1</f>
        <v>-527</v>
      </c>
      <c r="D13" s="147">
        <f>('3 Statement Model'!E34)*-1</f>
        <v>-452</v>
      </c>
      <c r="E13" s="147">
        <f>('3 Statement Model'!F34)*-1</f>
        <v>-526</v>
      </c>
      <c r="F13" s="147">
        <f>('3 Statement Model'!G34)*-1</f>
        <v>-886</v>
      </c>
      <c r="G13" s="147">
        <f>('3 Statement Model'!H34)*-1</f>
        <v>-1201</v>
      </c>
      <c r="H13" s="147">
        <f>('3 Statement Model'!I34)*-1</f>
        <v>-1208.2983974023807</v>
      </c>
      <c r="I13" s="147">
        <f>('3 Statement Model'!J34)*-1</f>
        <v>-1220.8488044450862</v>
      </c>
      <c r="J13" s="147">
        <f>('3 Statement Model'!K34)*-1</f>
        <v>-1820.305472106872</v>
      </c>
      <c r="K13" s="147">
        <f>('3 Statement Model'!L34)*-1</f>
        <v>-2105.0813416754941</v>
      </c>
      <c r="L13" s="147">
        <f>('3 Statement Model'!M34)*-1</f>
        <v>-2273.48589149803</v>
      </c>
      <c r="M13" s="147">
        <f>('3 Statement Model'!N34)*-1</f>
        <v>-2412.5202182138269</v>
      </c>
      <c r="N13" s="147">
        <f>('3 Statement Model'!O34)*-1</f>
        <v>-2547.753445905968</v>
      </c>
      <c r="O13" s="147">
        <f>('3 Statement Model'!P34)*-1</f>
        <v>-2677.4503393144214</v>
      </c>
      <c r="P13" s="147">
        <f>('3 Statement Model'!Q34)*-1</f>
        <v>-2800.0094769218613</v>
      </c>
      <c r="Q13" s="147">
        <f>('3 Statement Model'!R34)*-1</f>
        <v>-2920.9811747065332</v>
      </c>
      <c r="R13" s="147">
        <f>('3 Statement Model'!S34)*-1</f>
        <v>-3039.674115880438</v>
      </c>
    </row>
    <row r="14" spans="1:21">
      <c r="B14" s="24" t="s">
        <v>123</v>
      </c>
      <c r="C14" s="172">
        <f>SUM(C12:C13)</f>
        <v>1271.3000000000002</v>
      </c>
      <c r="D14" s="172">
        <f t="shared" ref="D14:M14" si="2">SUM(D12:D13)</f>
        <v>878.09999999999991</v>
      </c>
      <c r="E14" s="172">
        <f t="shared" si="2"/>
        <v>1195.1999999999998</v>
      </c>
      <c r="F14" s="172">
        <f t="shared" si="2"/>
        <v>2031.8000000000002</v>
      </c>
      <c r="G14" s="172">
        <f t="shared" si="2"/>
        <v>2525.6999999999998</v>
      </c>
      <c r="H14" s="172">
        <f t="shared" si="2"/>
        <v>3016.1024254953973</v>
      </c>
      <c r="I14" s="172">
        <f t="shared" si="2"/>
        <v>3483.6280985238009</v>
      </c>
      <c r="J14" s="172">
        <f t="shared" si="2"/>
        <v>3969.6340489891018</v>
      </c>
      <c r="K14" s="172">
        <f t="shared" si="2"/>
        <v>4625.6674870084444</v>
      </c>
      <c r="L14" s="172">
        <f t="shared" si="2"/>
        <v>4968.1912740681273</v>
      </c>
      <c r="M14" s="172">
        <f t="shared" si="2"/>
        <v>5274.8789224038428</v>
      </c>
      <c r="N14" s="172">
        <f t="shared" ref="N14:R14" si="3">SUM(N12:N13)</f>
        <v>5572.7388804700904</v>
      </c>
      <c r="O14" s="172">
        <f t="shared" si="3"/>
        <v>5858.4177243117274</v>
      </c>
      <c r="P14" s="172">
        <f t="shared" si="3"/>
        <v>6128.3886584056218</v>
      </c>
      <c r="Q14" s="172">
        <f t="shared" si="3"/>
        <v>6394.8223341639632</v>
      </c>
      <c r="R14" s="172">
        <f t="shared" si="3"/>
        <v>6656.2424300899074</v>
      </c>
    </row>
    <row r="15" spans="1:21">
      <c r="B15" s="84" t="s">
        <v>944</v>
      </c>
      <c r="C15" s="147">
        <f>'3 Statement Model'!D25</f>
        <v>382</v>
      </c>
      <c r="D15" s="147">
        <f>'3 Statement Model'!E25</f>
        <v>451</v>
      </c>
      <c r="E15" s="147">
        <f>'3 Statement Model'!F25</f>
        <v>452</v>
      </c>
      <c r="F15" s="147">
        <f>'3 Statement Model'!G25</f>
        <v>526</v>
      </c>
      <c r="G15" s="147">
        <f>'3 Statement Model'!H25</f>
        <v>598</v>
      </c>
      <c r="H15" s="147">
        <f>'3 Statement Model'!I25</f>
        <v>712.22222222222217</v>
      </c>
      <c r="I15" s="147">
        <f>'3 Statement Model'!J25</f>
        <v>851.11111111111109</v>
      </c>
      <c r="J15" s="147">
        <f>'3 Statement Model'!K25</f>
        <v>964.00618883362449</v>
      </c>
      <c r="K15" s="147">
        <f>'3 Statement Model'!L25</f>
        <v>1067.6040248613426</v>
      </c>
      <c r="L15" s="147">
        <f>'3 Statement Model'!M25</f>
        <v>1152.7269134641178</v>
      </c>
      <c r="M15" s="147">
        <f>'3 Statement Model'!N25</f>
        <v>1210.6691831544208</v>
      </c>
      <c r="N15" s="147">
        <f>'3 Statement Model'!O25</f>
        <v>1266.9697552034984</v>
      </c>
      <c r="O15" s="147">
        <f>'3 Statement Model'!P25</f>
        <v>1320.9671220323864</v>
      </c>
      <c r="P15" s="147">
        <f>'3 Statement Model'!Q25</f>
        <v>1371.9946336856856</v>
      </c>
      <c r="Q15" s="147">
        <f>'3 Statement Model'!R25</f>
        <v>1422.3559528257333</v>
      </c>
      <c r="R15" s="147">
        <f>'3 Statement Model'!S25</f>
        <v>1471.7692941937332</v>
      </c>
    </row>
    <row r="16" spans="1:21">
      <c r="B16" s="24" t="s">
        <v>945</v>
      </c>
      <c r="C16" s="172">
        <f>SUM(C14:C15)</f>
        <v>1653.3000000000002</v>
      </c>
      <c r="D16" s="172">
        <f t="shared" ref="D16:M16" si="4">SUM(D14:D15)</f>
        <v>1329.1</v>
      </c>
      <c r="E16" s="172">
        <f t="shared" si="4"/>
        <v>1647.1999999999998</v>
      </c>
      <c r="F16" s="172">
        <f t="shared" si="4"/>
        <v>2557.8000000000002</v>
      </c>
      <c r="G16" s="172">
        <f t="shared" si="4"/>
        <v>3123.7</v>
      </c>
      <c r="H16" s="172">
        <f t="shared" si="4"/>
        <v>3728.3246477176194</v>
      </c>
      <c r="I16" s="172">
        <f t="shared" si="4"/>
        <v>4334.7392096349122</v>
      </c>
      <c r="J16" s="172">
        <f t="shared" si="4"/>
        <v>4933.6402378227267</v>
      </c>
      <c r="K16" s="172">
        <f t="shared" si="4"/>
        <v>5693.271511869787</v>
      </c>
      <c r="L16" s="172">
        <f t="shared" si="4"/>
        <v>6120.9181875322447</v>
      </c>
      <c r="M16" s="172">
        <f t="shared" si="4"/>
        <v>6485.5481055582641</v>
      </c>
      <c r="N16" s="172">
        <f t="shared" ref="N16:R16" si="5">SUM(N14:N15)</f>
        <v>6839.708635673589</v>
      </c>
      <c r="O16" s="172">
        <f t="shared" si="5"/>
        <v>7179.3848463441136</v>
      </c>
      <c r="P16" s="172">
        <f t="shared" si="5"/>
        <v>7500.3832920913073</v>
      </c>
      <c r="Q16" s="172">
        <f t="shared" si="5"/>
        <v>7817.1782869896961</v>
      </c>
      <c r="R16" s="172">
        <f t="shared" si="5"/>
        <v>8128.0117242836404</v>
      </c>
    </row>
    <row r="17" spans="1:18">
      <c r="B17" t="s">
        <v>127</v>
      </c>
      <c r="C17" s="117"/>
      <c r="D17" s="117"/>
      <c r="E17" s="117"/>
      <c r="F17" s="117"/>
      <c r="G17" s="117"/>
      <c r="H17" s="117"/>
      <c r="I17" s="117"/>
      <c r="J17" s="117"/>
      <c r="K17" s="117"/>
      <c r="L17" s="117"/>
      <c r="M17" s="117"/>
      <c r="N17" s="117"/>
      <c r="O17" s="117"/>
      <c r="P17" s="117"/>
      <c r="Q17" s="117"/>
      <c r="R17" s="117"/>
    </row>
    <row r="18" spans="1:18">
      <c r="B18" s="42" t="s">
        <v>79</v>
      </c>
      <c r="C18" s="147">
        <f>'3 Statement Model'!D105</f>
        <v>-1107.3169934640523</v>
      </c>
      <c r="D18" s="147">
        <f>'3 Statement Model'!E105</f>
        <v>-166.36405228758167</v>
      </c>
      <c r="E18" s="147">
        <f>'3 Statement Model'!F105</f>
        <v>189.72679738562078</v>
      </c>
      <c r="F18" s="147">
        <f>'3 Statement Model'!G105</f>
        <v>302.27973856209155</v>
      </c>
      <c r="G18" s="147">
        <f>'3 Statement Model'!H105</f>
        <v>-32.216339869281001</v>
      </c>
      <c r="H18" s="147">
        <f>'3 Statement Model'!I105</f>
        <v>-268.36435379857789</v>
      </c>
      <c r="I18" s="147">
        <f>'3 Statement Model'!J105</f>
        <v>470.51386368438295</v>
      </c>
      <c r="J18" s="147">
        <f>'3 Statement Model'!K105</f>
        <v>48.605449502465717</v>
      </c>
      <c r="K18" s="147">
        <f>'3 Statement Model'!L105</f>
        <v>-11.831636620631627</v>
      </c>
      <c r="L18" s="147">
        <f>'3 Statement Model'!M105</f>
        <v>-43.689907560427798</v>
      </c>
      <c r="M18" s="147">
        <f>'3 Statement Model'!N105</f>
        <v>-113.69493628514641</v>
      </c>
      <c r="N18" s="147">
        <f>'3 Statement Model'!O105</f>
        <v>-149.66057856339251</v>
      </c>
      <c r="O18" s="147">
        <f>'3 Statement Model'!P105</f>
        <v>-114.57557489619705</v>
      </c>
      <c r="P18" s="147">
        <f>'3 Statement Model'!Q105</f>
        <v>-177.5123732837979</v>
      </c>
      <c r="Q18" s="147">
        <f>'3 Statement Model'!R105</f>
        <v>-247.13940627681757</v>
      </c>
      <c r="R18" s="147">
        <f>'3 Statement Model'!S105</f>
        <v>-87.152844328114554</v>
      </c>
    </row>
    <row r="19" spans="1:18">
      <c r="B19" s="42" t="s">
        <v>946</v>
      </c>
      <c r="C19" s="147">
        <f>'3 Statement Model'!D108</f>
        <v>-818</v>
      </c>
      <c r="D19" s="147">
        <f>'3 Statement Model'!E108</f>
        <v>-474</v>
      </c>
      <c r="E19" s="147">
        <f>'3 Statement Model'!F108</f>
        <v>-356</v>
      </c>
      <c r="F19" s="147">
        <f>'3 Statement Model'!G108</f>
        <v>-737</v>
      </c>
      <c r="G19" s="147">
        <f>'3 Statement Model'!H108</f>
        <v>-608</v>
      </c>
      <c r="H19" s="147">
        <f>'3 Statement Model'!I108</f>
        <v>-1087.9904433420597</v>
      </c>
      <c r="I19" s="147">
        <f>'3 Statement Model'!J108</f>
        <v>-1250</v>
      </c>
      <c r="J19" s="147">
        <f>'3 Statement Model'!K108</f>
        <v>-1016.0556995026218</v>
      </c>
      <c r="K19" s="147">
        <f>'3 Statement Model'!L108</f>
        <v>-932.38052424946363</v>
      </c>
      <c r="L19" s="147">
        <f>'3 Statement Model'!M108</f>
        <v>-766.10599742497652</v>
      </c>
      <c r="M19" s="147">
        <f>'3 Statement Model'!N108</f>
        <v>-521.48042721272577</v>
      </c>
      <c r="N19" s="147">
        <f>'3 Statement Model'!O108</f>
        <v>-506.70514844169884</v>
      </c>
      <c r="O19" s="147">
        <f>'3 Statement Model'!P108</f>
        <v>-485.9763014599921</v>
      </c>
      <c r="P19" s="147">
        <f>'3 Statement Model'!Q108</f>
        <v>-459.2476048796907</v>
      </c>
      <c r="Q19" s="147">
        <f>'3 Statement Model'!R108</f>
        <v>-453.25187226042908</v>
      </c>
      <c r="R19" s="147">
        <f>'3 Statement Model'!S108</f>
        <v>-444.72007231199859</v>
      </c>
    </row>
    <row r="20" spans="1:18">
      <c r="B20" s="83" t="s">
        <v>120</v>
      </c>
      <c r="C20" s="172">
        <f>C16+SUM(C18:C19)</f>
        <v>-272.01699346405212</v>
      </c>
      <c r="D20" s="172">
        <f t="shared" ref="D20:M20" si="6">D16+SUM(D18:D19)</f>
        <v>688.73594771241824</v>
      </c>
      <c r="E20" s="172">
        <f t="shared" si="6"/>
        <v>1480.9267973856206</v>
      </c>
      <c r="F20" s="172">
        <f t="shared" si="6"/>
        <v>2123.0797385620917</v>
      </c>
      <c r="G20" s="172">
        <f t="shared" si="6"/>
        <v>2483.4836601307188</v>
      </c>
      <c r="H20" s="172">
        <f t="shared" si="6"/>
        <v>2371.969850576982</v>
      </c>
      <c r="I20" s="172">
        <f t="shared" si="6"/>
        <v>3555.2530733192953</v>
      </c>
      <c r="J20" s="172">
        <f t="shared" si="6"/>
        <v>3966.1899878225704</v>
      </c>
      <c r="K20" s="172">
        <f t="shared" si="6"/>
        <v>4749.0593509996916</v>
      </c>
      <c r="L20" s="172">
        <f t="shared" si="6"/>
        <v>5311.1222825468403</v>
      </c>
      <c r="M20" s="172">
        <f t="shared" si="6"/>
        <v>5850.3727420603918</v>
      </c>
      <c r="N20" s="172">
        <f t="shared" ref="N20:R20" si="7">N16+SUM(N18:N19)</f>
        <v>6183.3429086684973</v>
      </c>
      <c r="O20" s="172">
        <f t="shared" si="7"/>
        <v>6578.8329699879241</v>
      </c>
      <c r="P20" s="172">
        <f t="shared" si="7"/>
        <v>6863.6233139278193</v>
      </c>
      <c r="Q20" s="172">
        <f t="shared" si="7"/>
        <v>7116.7870084524493</v>
      </c>
      <c r="R20" s="172">
        <f t="shared" si="7"/>
        <v>7596.1388076435269</v>
      </c>
    </row>
    <row r="22" spans="1:18">
      <c r="B22" s="42" t="s">
        <v>124</v>
      </c>
      <c r="C22" s="85" t="s">
        <v>150</v>
      </c>
      <c r="D22" s="86" t="s">
        <v>128</v>
      </c>
      <c r="H22">
        <f>IF(D22="Yes",(H6-G6)/2,H6-G6)</f>
        <v>0.5</v>
      </c>
      <c r="I22">
        <f>H22+1</f>
        <v>1.5</v>
      </c>
      <c r="J22">
        <f>I22+1</f>
        <v>2.5</v>
      </c>
      <c r="K22">
        <f>J22+1</f>
        <v>3.5</v>
      </c>
      <c r="L22">
        <f>K22+1</f>
        <v>4.5</v>
      </c>
      <c r="M22">
        <f>L22+1</f>
        <v>5.5</v>
      </c>
      <c r="N22">
        <f t="shared" ref="N22:R22" si="8">M22+1</f>
        <v>6.5</v>
      </c>
      <c r="O22">
        <f t="shared" si="8"/>
        <v>7.5</v>
      </c>
      <c r="P22">
        <f t="shared" si="8"/>
        <v>8.5</v>
      </c>
      <c r="Q22">
        <f t="shared" si="8"/>
        <v>9.5</v>
      </c>
      <c r="R22">
        <f t="shared" si="8"/>
        <v>10.5</v>
      </c>
    </row>
    <row r="23" spans="1:18">
      <c r="B23" s="42" t="s">
        <v>129</v>
      </c>
      <c r="C23" s="87">
        <f>WACC!E24</f>
        <v>9.9999999999999992E-2</v>
      </c>
      <c r="D23" s="91"/>
      <c r="E23" s="91"/>
    </row>
    <row r="24" spans="1:18">
      <c r="B24" s="42" t="s">
        <v>130</v>
      </c>
      <c r="H24" s="88">
        <f t="shared" ref="H24:M24" si="9">1/(1+$C$23)^H22</f>
        <v>0.95346258924559224</v>
      </c>
      <c r="I24" s="88">
        <f t="shared" si="9"/>
        <v>0.86678417204144742</v>
      </c>
      <c r="J24" s="88">
        <f t="shared" si="9"/>
        <v>0.78798561094677033</v>
      </c>
      <c r="K24" s="88">
        <f t="shared" si="9"/>
        <v>0.71635055540615489</v>
      </c>
      <c r="L24" s="88">
        <f t="shared" si="9"/>
        <v>0.65122777764195883</v>
      </c>
      <c r="M24" s="88">
        <f t="shared" si="9"/>
        <v>0.59202525240178083</v>
      </c>
      <c r="N24" s="88">
        <f t="shared" ref="N24:R24" si="10">1/(1+$C$23)^N22</f>
        <v>0.53820477491070973</v>
      </c>
      <c r="O24" s="88">
        <f t="shared" si="10"/>
        <v>0.48927706810064514</v>
      </c>
      <c r="P24" s="88">
        <f t="shared" si="10"/>
        <v>0.44479733463695009</v>
      </c>
      <c r="Q24" s="88">
        <f t="shared" si="10"/>
        <v>0.4043612133063183</v>
      </c>
      <c r="R24" s="88">
        <f t="shared" si="10"/>
        <v>0.36760110300574383</v>
      </c>
    </row>
    <row r="26" spans="1:18" ht="15" thickBot="1">
      <c r="B26" s="89" t="s">
        <v>131</v>
      </c>
      <c r="C26" s="31"/>
      <c r="D26" s="31"/>
      <c r="E26" s="31"/>
      <c r="F26" s="31"/>
      <c r="G26" s="31"/>
      <c r="H26" s="116">
        <f t="shared" ref="H26:M26" si="11">H20*H24</f>
        <v>2261.5845153436098</v>
      </c>
      <c r="I26" s="116">
        <f t="shared" si="11"/>
        <v>3081.6370915548769</v>
      </c>
      <c r="J26" s="116">
        <f t="shared" si="11"/>
        <v>3125.3006406853319</v>
      </c>
      <c r="K26" s="116">
        <f t="shared" si="11"/>
        <v>3401.9913037454226</v>
      </c>
      <c r="L26" s="116">
        <f t="shared" si="11"/>
        <v>3458.7503608476663</v>
      </c>
      <c r="M26" s="116">
        <f t="shared" si="11"/>
        <v>3463.5683992628019</v>
      </c>
      <c r="N26" s="116">
        <f t="shared" ref="N26:R26" si="12">N20*N24</f>
        <v>3327.9046783556619</v>
      </c>
      <c r="O26" s="116">
        <f t="shared" si="12"/>
        <v>3218.8721070795509</v>
      </c>
      <c r="P26" s="116">
        <f t="shared" si="12"/>
        <v>3052.9213559871246</v>
      </c>
      <c r="Q26" s="116">
        <f t="shared" si="12"/>
        <v>2877.752629580476</v>
      </c>
      <c r="R26" s="116">
        <f t="shared" si="12"/>
        <v>2792.3490042744961</v>
      </c>
    </row>
    <row r="28" spans="1:18" ht="18">
      <c r="A28" t="s">
        <v>29</v>
      </c>
      <c r="B28" s="16" t="s">
        <v>135</v>
      </c>
      <c r="C28" s="69"/>
      <c r="D28" s="69"/>
      <c r="E28" s="69"/>
      <c r="F28" s="69"/>
      <c r="G28" s="70"/>
      <c r="H28" s="70"/>
      <c r="I28" s="70"/>
      <c r="J28" s="70"/>
      <c r="K28" s="70"/>
      <c r="L28" s="70"/>
      <c r="M28" s="70"/>
      <c r="N28" s="70"/>
      <c r="O28" s="70"/>
      <c r="P28" s="70"/>
      <c r="Q28" s="70"/>
      <c r="R28" s="70"/>
    </row>
    <row r="30" spans="1:18">
      <c r="B30" t="s">
        <v>136</v>
      </c>
      <c r="C30" s="91">
        <f>WACC!E7</f>
        <v>4.259014176222492E-2</v>
      </c>
      <c r="D30" s="91"/>
      <c r="E30" s="91"/>
    </row>
    <row r="31" spans="1:18">
      <c r="B31" t="s">
        <v>137</v>
      </c>
      <c r="C31" s="117">
        <f>R20*(1+$C$30)</f>
        <v>7919.6594363066033</v>
      </c>
      <c r="D31" s="37"/>
      <c r="E31" s="37"/>
    </row>
    <row r="32" spans="1:18">
      <c r="B32" s="24" t="s">
        <v>138</v>
      </c>
      <c r="C32" s="172">
        <f>C31/(C23-C30)</f>
        <v>137949.46860007316</v>
      </c>
      <c r="D32" s="35"/>
      <c r="E32" s="35"/>
    </row>
    <row r="33" spans="1:18">
      <c r="B33" t="s">
        <v>139</v>
      </c>
      <c r="C33" s="117">
        <f>C32*M24</f>
        <v>81669.568966649851</v>
      </c>
      <c r="D33" s="37"/>
      <c r="E33" s="37"/>
    </row>
    <row r="34" spans="1:18">
      <c r="B34" s="11" t="s">
        <v>140</v>
      </c>
      <c r="C34" s="356">
        <f>SUM(H26:R26)</f>
        <v>34062.632086717022</v>
      </c>
      <c r="D34" s="37"/>
      <c r="E34" s="37"/>
    </row>
    <row r="35" spans="1:18">
      <c r="B35" s="22" t="s">
        <v>141</v>
      </c>
      <c r="C35" s="118">
        <f>SUM(C33:C34)</f>
        <v>115732.20105336688</v>
      </c>
      <c r="D35" s="37"/>
      <c r="E35" s="37"/>
    </row>
    <row r="36" spans="1:18">
      <c r="B36" s="354" t="s">
        <v>142</v>
      </c>
      <c r="C36" s="355">
        <f>C35/R10</f>
        <v>10.363131870807221</v>
      </c>
      <c r="D36" s="93"/>
      <c r="E36" s="93"/>
    </row>
    <row r="37" spans="1:18">
      <c r="B37" s="354" t="s">
        <v>143</v>
      </c>
      <c r="C37" s="355">
        <f>C35/'3 Statement Model'!H23</f>
        <v>26.760746653725551</v>
      </c>
      <c r="D37" s="93"/>
      <c r="E37" s="93"/>
    </row>
    <row r="38" spans="1:18">
      <c r="B38" t="s">
        <v>144</v>
      </c>
      <c r="C38" s="147">
        <f>SUM('3 Statement Model'!H71,'3 Statement Model'!H82)*-1</f>
        <v>-219.47058823529414</v>
      </c>
      <c r="D38" s="59"/>
      <c r="E38" s="59"/>
    </row>
    <row r="39" spans="1:18">
      <c r="B39" t="s">
        <v>145</v>
      </c>
      <c r="C39" s="147">
        <f>'3 Statement Model'!H47</f>
        <v>146</v>
      </c>
      <c r="D39" s="76"/>
      <c r="E39" s="76"/>
    </row>
    <row r="40" spans="1:18">
      <c r="B40" t="s">
        <v>949</v>
      </c>
      <c r="C40" s="147">
        <f>'P&amp;L'!G54*-1</f>
        <v>0</v>
      </c>
      <c r="D40" s="76"/>
      <c r="E40" s="76"/>
    </row>
    <row r="41" spans="1:18">
      <c r="B41" t="s">
        <v>947</v>
      </c>
      <c r="C41" s="147">
        <f ca="1">'3 Statement Model'!H57</f>
        <v>13346</v>
      </c>
      <c r="D41" s="76"/>
      <c r="E41" s="76"/>
    </row>
    <row r="42" spans="1:18">
      <c r="B42" s="24" t="s">
        <v>146</v>
      </c>
      <c r="C42" s="172">
        <f ca="1">SUM(C35,C38:C41)</f>
        <v>129004.73046513158</v>
      </c>
      <c r="D42" s="37"/>
      <c r="E42" s="37"/>
    </row>
    <row r="43" spans="1:18">
      <c r="B43" s="22" t="s">
        <v>948</v>
      </c>
      <c r="C43" s="147">
        <f ca="1">'Option value'!E28*-1</f>
        <v>-110.58480739740264</v>
      </c>
      <c r="D43" s="37"/>
      <c r="E43" s="37"/>
    </row>
    <row r="44" spans="1:18">
      <c r="B44" s="24" t="s">
        <v>950</v>
      </c>
      <c r="C44" s="172">
        <f ca="1">SUM(C42:C43)</f>
        <v>128894.14565773417</v>
      </c>
    </row>
    <row r="45" spans="1:18">
      <c r="B45" s="22"/>
      <c r="C45" s="118"/>
    </row>
    <row r="46" spans="1:18" ht="18">
      <c r="A46" t="s">
        <v>29</v>
      </c>
      <c r="B46" s="16" t="s">
        <v>147</v>
      </c>
      <c r="C46" s="69"/>
      <c r="D46" s="69"/>
      <c r="E46" s="69"/>
      <c r="F46" s="69"/>
      <c r="G46" s="70"/>
      <c r="H46" s="70"/>
      <c r="I46" s="70"/>
      <c r="J46" s="70"/>
      <c r="K46" s="70"/>
      <c r="L46" s="70"/>
      <c r="M46" s="70"/>
      <c r="N46" s="70"/>
      <c r="O46" s="70"/>
      <c r="P46" s="70"/>
      <c r="Q46" s="70"/>
      <c r="R46" s="70"/>
    </row>
    <row r="48" spans="1:18">
      <c r="B48" t="s">
        <v>148</v>
      </c>
      <c r="C48" s="93">
        <v>19</v>
      </c>
      <c r="D48" s="93"/>
      <c r="E48" s="93"/>
    </row>
    <row r="49" spans="1:18">
      <c r="B49" t="s">
        <v>149</v>
      </c>
      <c r="C49" s="117">
        <f>M10</f>
        <v>8898.0683237720914</v>
      </c>
      <c r="D49" s="37"/>
      <c r="E49" s="37"/>
    </row>
    <row r="50" spans="1:18">
      <c r="B50" s="24" t="s">
        <v>138</v>
      </c>
      <c r="C50" s="172">
        <f>C49*C48</f>
        <v>169063.29815166973</v>
      </c>
      <c r="D50" s="35"/>
      <c r="E50" s="35"/>
    </row>
    <row r="51" spans="1:18">
      <c r="B51" t="s">
        <v>139</v>
      </c>
      <c r="C51" s="117">
        <f>C50*L24</f>
        <v>110098.71593613176</v>
      </c>
      <c r="D51" s="37"/>
      <c r="E51" s="37"/>
    </row>
    <row r="52" spans="1:18">
      <c r="B52" s="11" t="s">
        <v>140</v>
      </c>
      <c r="C52" s="356">
        <f>C34</f>
        <v>34062.632086717022</v>
      </c>
      <c r="D52" s="37"/>
      <c r="E52" s="37"/>
    </row>
    <row r="53" spans="1:18">
      <c r="B53" s="22" t="s">
        <v>141</v>
      </c>
      <c r="C53" s="118">
        <f>SUM(C51:C52)</f>
        <v>144161.34802284878</v>
      </c>
      <c r="D53" s="37"/>
      <c r="E53" s="37"/>
    </row>
    <row r="54" spans="1:18">
      <c r="B54" s="354" t="s">
        <v>142</v>
      </c>
      <c r="C54" s="355">
        <f>C53/M10</f>
        <v>16.201420665393986</v>
      </c>
      <c r="D54" s="93"/>
      <c r="E54" s="93"/>
    </row>
    <row r="55" spans="1:18">
      <c r="B55" s="354" t="s">
        <v>143</v>
      </c>
      <c r="C55" s="355">
        <f>C53/'3 Statement Model'!H21</f>
        <v>44.627851290235817</v>
      </c>
      <c r="D55" s="93"/>
      <c r="E55" s="93"/>
    </row>
    <row r="56" spans="1:18">
      <c r="B56" t="s">
        <v>144</v>
      </c>
      <c r="C56" s="190">
        <f>C38</f>
        <v>-219.47058823529414</v>
      </c>
      <c r="D56" s="59"/>
      <c r="E56" s="59"/>
    </row>
    <row r="57" spans="1:18">
      <c r="B57" t="s">
        <v>145</v>
      </c>
      <c r="C57" s="190">
        <f>C39</f>
        <v>146</v>
      </c>
      <c r="D57" s="59"/>
      <c r="E57" s="59"/>
    </row>
    <row r="58" spans="1:18">
      <c r="B58" t="str">
        <f>B40</f>
        <v>Less: Minority Interest</v>
      </c>
      <c r="C58" s="190">
        <f t="shared" ref="C58:C59" si="13">C40</f>
        <v>0</v>
      </c>
      <c r="D58" s="59"/>
      <c r="E58" s="59"/>
    </row>
    <row r="59" spans="1:18">
      <c r="B59" t="str">
        <f>B41</f>
        <v>Add: Non Operating Asset</v>
      </c>
      <c r="C59" s="190">
        <f t="shared" ca="1" si="13"/>
        <v>13346</v>
      </c>
      <c r="D59" s="59"/>
      <c r="E59" s="59"/>
    </row>
    <row r="60" spans="1:18">
      <c r="B60" s="24" t="s">
        <v>146</v>
      </c>
      <c r="C60" s="172">
        <f ca="1">SUM(C53,C56:C59)</f>
        <v>157433.87743461347</v>
      </c>
      <c r="D60" s="37"/>
      <c r="E60" s="37"/>
    </row>
    <row r="61" spans="1:18">
      <c r="B61" t="str">
        <f>B43</f>
        <v>Less: Value of Options</v>
      </c>
      <c r="C61" s="190">
        <f t="shared" ref="C61" ca="1" si="14">C43</f>
        <v>-110.58480739740264</v>
      </c>
    </row>
    <row r="62" spans="1:18">
      <c r="B62" s="24" t="str">
        <f t="shared" ref="B62" si="15">B44</f>
        <v>Equity Value for Shareholder</v>
      </c>
      <c r="C62" s="172">
        <f ca="1">SUM(C60:C61)</f>
        <v>157323.29262721608</v>
      </c>
    </row>
    <row r="64" spans="1:18" ht="18">
      <c r="A64" t="s">
        <v>29</v>
      </c>
      <c r="B64" s="16" t="s">
        <v>980</v>
      </c>
      <c r="C64" s="69"/>
      <c r="D64" s="69"/>
      <c r="E64" s="69"/>
      <c r="F64" s="69"/>
      <c r="G64" s="70"/>
      <c r="H64" s="70"/>
      <c r="I64" s="70"/>
      <c r="J64" s="70"/>
      <c r="K64" s="70"/>
      <c r="L64" s="70"/>
      <c r="M64" s="70"/>
      <c r="N64" s="70"/>
      <c r="O64" s="70"/>
      <c r="P64" s="70"/>
      <c r="Q64" s="70"/>
      <c r="R64" s="70"/>
    </row>
    <row r="65" spans="2:18" ht="18">
      <c r="B65" s="171"/>
      <c r="C65" s="283"/>
      <c r="D65" s="283"/>
      <c r="E65" s="283"/>
      <c r="F65" s="283"/>
      <c r="G65" s="383"/>
      <c r="H65" s="383"/>
      <c r="I65" s="383"/>
      <c r="J65" s="383"/>
      <c r="K65" s="383"/>
      <c r="L65" s="383"/>
      <c r="M65" s="383"/>
      <c r="N65" s="383"/>
      <c r="O65" s="383"/>
      <c r="P65" s="383"/>
      <c r="Q65" s="383"/>
      <c r="R65" s="383"/>
    </row>
    <row r="66" spans="2:18" ht="18">
      <c r="B66" s="171"/>
      <c r="C66" s="283"/>
      <c r="D66" s="283"/>
      <c r="E66" s="283"/>
      <c r="F66" s="283"/>
      <c r="G66" s="383"/>
      <c r="H66" s="383"/>
      <c r="I66" s="383"/>
      <c r="J66" s="383"/>
      <c r="K66" s="383"/>
      <c r="L66" s="383"/>
      <c r="M66" s="383"/>
      <c r="N66" s="383"/>
      <c r="O66" s="383"/>
      <c r="P66" s="383"/>
      <c r="Q66" s="383"/>
      <c r="R66" s="383"/>
    </row>
    <row r="67" spans="2:18">
      <c r="D67" s="429" t="s">
        <v>982</v>
      </c>
      <c r="E67" s="429"/>
      <c r="F67" s="429"/>
      <c r="G67" s="429"/>
      <c r="H67" s="429"/>
      <c r="I67" s="429"/>
      <c r="J67" s="429"/>
    </row>
    <row r="68" spans="2:18">
      <c r="C68" s="381">
        <f ca="1">C44</f>
        <v>128894.14565773417</v>
      </c>
      <c r="D68" s="382">
        <v>0.09</v>
      </c>
      <c r="E68" s="382">
        <v>0.1</v>
      </c>
      <c r="F68" s="382">
        <v>0.11</v>
      </c>
      <c r="G68" s="382">
        <v>0.12</v>
      </c>
      <c r="H68" s="382">
        <v>0.13</v>
      </c>
      <c r="I68" s="382">
        <v>0.14000000000000001</v>
      </c>
      <c r="J68" s="382">
        <v>0.15</v>
      </c>
    </row>
    <row r="69" spans="2:18">
      <c r="B69" s="433" t="s">
        <v>981</v>
      </c>
      <c r="C69" s="382">
        <v>0.03</v>
      </c>
      <c r="D69" s="229">
        <f t="dataTable" ref="D69:J74" dt2D="1" dtr="1" r1="C23" r2="C30" ca="1"/>
        <v>130180.63949169441</v>
      </c>
      <c r="E69" s="229">
        <v>113396.27918708925</v>
      </c>
      <c r="F69" s="229">
        <v>100661.91533281149</v>
      </c>
      <c r="G69" s="229">
        <v>90649.085634551113</v>
      </c>
      <c r="H69" s="229">
        <v>82558.056043072516</v>
      </c>
      <c r="I69" s="229">
        <v>75877.813066572431</v>
      </c>
      <c r="J69" s="229">
        <v>70266.019470634885</v>
      </c>
    </row>
    <row r="70" spans="2:18">
      <c r="B70" s="433"/>
      <c r="C70" s="382">
        <v>0.04</v>
      </c>
      <c r="D70" s="229">
        <v>147361.79610969406</v>
      </c>
      <c r="E70" s="397">
        <v>125174.4139355691</v>
      </c>
      <c r="F70" s="229">
        <v>109143.00120743165</v>
      </c>
      <c r="G70" s="229">
        <v>96984.56227179282</v>
      </c>
      <c r="H70" s="229">
        <v>87427.701996563133</v>
      </c>
      <c r="I70" s="229">
        <v>79707.192284376855</v>
      </c>
      <c r="J70" s="229">
        <v>73334.18424437099</v>
      </c>
    </row>
    <row r="71" spans="2:18">
      <c r="B71" s="433"/>
      <c r="C71" s="382">
        <v>0.05</v>
      </c>
      <c r="D71" s="229">
        <v>173133.53103669352</v>
      </c>
      <c r="E71" s="229">
        <v>141663.80258344088</v>
      </c>
      <c r="F71" s="229">
        <v>120451.11570692519</v>
      </c>
      <c r="G71" s="229">
        <v>105130.17509110358</v>
      </c>
      <c r="H71" s="229">
        <v>93514.759438426394</v>
      </c>
      <c r="I71" s="229">
        <v>84387.544661693377</v>
      </c>
      <c r="J71" s="229">
        <v>77015.981972854308</v>
      </c>
    </row>
    <row r="72" spans="2:18">
      <c r="B72" s="433"/>
      <c r="C72" s="382">
        <v>0.06</v>
      </c>
      <c r="D72" s="229">
        <v>216086.42258169258</v>
      </c>
      <c r="E72" s="229">
        <v>166397.88555524853</v>
      </c>
      <c r="F72" s="229">
        <v>136282.47600621617</v>
      </c>
      <c r="G72" s="229">
        <v>115990.99218351791</v>
      </c>
      <c r="H72" s="229">
        <v>101340.97614939346</v>
      </c>
      <c r="I72" s="229">
        <v>90237.98513333904</v>
      </c>
      <c r="J72" s="229">
        <v>81515.956974333894</v>
      </c>
    </row>
    <row r="73" spans="2:18">
      <c r="B73" s="433"/>
      <c r="C73" s="382">
        <v>7.0000000000000007E-2</v>
      </c>
      <c r="D73" s="229">
        <v>301992.20567169087</v>
      </c>
      <c r="E73" s="229">
        <v>207621.35717492801</v>
      </c>
      <c r="F73" s="229">
        <v>160029.5164551526</v>
      </c>
      <c r="G73" s="229">
        <v>131196.13611289804</v>
      </c>
      <c r="H73" s="229">
        <v>111775.93176401623</v>
      </c>
      <c r="I73" s="229">
        <v>97759.98002545489</v>
      </c>
      <c r="J73" s="229">
        <v>87140.925726183414</v>
      </c>
    </row>
    <row r="74" spans="2:18">
      <c r="B74" s="433"/>
      <c r="C74" s="382">
        <v>0.08</v>
      </c>
      <c r="D74" s="229">
        <v>559709.5549416854</v>
      </c>
      <c r="E74" s="229">
        <v>290068.30041428684</v>
      </c>
      <c r="F74" s="229">
        <v>199607.91720337997</v>
      </c>
      <c r="G74" s="229">
        <v>154003.85200696817</v>
      </c>
      <c r="H74" s="229">
        <v>126384.86962448807</v>
      </c>
      <c r="I74" s="229">
        <v>107789.306548276</v>
      </c>
      <c r="J74" s="229">
        <v>94373.028407132791</v>
      </c>
    </row>
    <row r="75" spans="2:18">
      <c r="C75" t="s">
        <v>35</v>
      </c>
    </row>
    <row r="77" spans="2:18">
      <c r="D77" s="429" t="s">
        <v>982</v>
      </c>
      <c r="E77" s="429"/>
      <c r="F77" s="429"/>
      <c r="G77" s="429"/>
      <c r="H77" s="429"/>
      <c r="I77" s="429"/>
      <c r="J77" s="429"/>
    </row>
    <row r="78" spans="2:18">
      <c r="C78" s="381">
        <f ca="1">C62</f>
        <v>157323.29262721608</v>
      </c>
      <c r="D78" s="382">
        <v>0.09</v>
      </c>
      <c r="E78" s="382">
        <v>0.1</v>
      </c>
      <c r="F78" s="382">
        <v>0.11</v>
      </c>
      <c r="G78" s="382">
        <v>0.12</v>
      </c>
      <c r="H78" s="382">
        <v>0.13</v>
      </c>
      <c r="I78" s="382">
        <v>0.14000000000000001</v>
      </c>
      <c r="J78" s="382">
        <v>0.15</v>
      </c>
    </row>
    <row r="79" spans="2:18">
      <c r="B79" s="433" t="s">
        <v>148</v>
      </c>
      <c r="C79" s="384">
        <v>17</v>
      </c>
      <c r="D79" s="229">
        <f t="dataTable" ref="D79:J84" dt2D="1" dtr="1" r1="C23" r2="C48" ca="1"/>
        <v>151645.68861422408</v>
      </c>
      <c r="E79" s="229">
        <v>145733.95410762329</v>
      </c>
      <c r="F79" s="229">
        <v>140151.30568010139</v>
      </c>
      <c r="G79" s="229">
        <v>134875.24058994732</v>
      </c>
      <c r="H79" s="229">
        <v>129885.08414309409</v>
      </c>
      <c r="I79" s="229">
        <v>125161.81810977795</v>
      </c>
      <c r="J79" s="229">
        <v>120687.92730862119</v>
      </c>
    </row>
    <row r="80" spans="2:18">
      <c r="B80" s="433"/>
      <c r="C80" s="384">
        <v>18</v>
      </c>
      <c r="D80" s="229">
        <v>157683.45764424329</v>
      </c>
      <c r="E80" s="229">
        <v>151528.6233674197</v>
      </c>
      <c r="F80" s="229">
        <v>145714.7318826188</v>
      </c>
      <c r="G80" s="229">
        <v>140218.60303957522</v>
      </c>
      <c r="H80" s="229">
        <v>135018.92900211975</v>
      </c>
      <c r="I80" s="229">
        <v>130096.09941486773</v>
      </c>
      <c r="J80" s="229">
        <v>125432.04500172166</v>
      </c>
    </row>
    <row r="81" spans="2:10">
      <c r="B81" s="433"/>
      <c r="C81" s="384">
        <v>19</v>
      </c>
      <c r="D81" s="229">
        <v>163721.22667426246</v>
      </c>
      <c r="E81" s="397">
        <v>157323.29262721608</v>
      </c>
      <c r="F81" s="229">
        <v>151278.15808513618</v>
      </c>
      <c r="G81" s="229">
        <v>145561.96548920314</v>
      </c>
      <c r="H81" s="229">
        <v>140152.77386114537</v>
      </c>
      <c r="I81" s="229">
        <v>135030.38071995752</v>
      </c>
      <c r="J81" s="229">
        <v>130176.16269482214</v>
      </c>
    </row>
    <row r="82" spans="2:10">
      <c r="B82" s="433"/>
      <c r="C82" s="384">
        <v>20</v>
      </c>
      <c r="D82" s="229">
        <v>169758.99570428164</v>
      </c>
      <c r="E82" s="229">
        <v>163117.96188701253</v>
      </c>
      <c r="F82" s="229">
        <v>156841.58428765356</v>
      </c>
      <c r="G82" s="229">
        <v>150905.32793883103</v>
      </c>
      <c r="H82" s="229">
        <v>145286.61872017104</v>
      </c>
      <c r="I82" s="229">
        <v>139964.66202504729</v>
      </c>
      <c r="J82" s="229">
        <v>134920.28038792263</v>
      </c>
    </row>
    <row r="83" spans="2:10">
      <c r="B83" s="433"/>
      <c r="C83" s="384">
        <v>21</v>
      </c>
      <c r="D83" s="229">
        <v>175796.76473430081</v>
      </c>
      <c r="E83" s="229">
        <v>168912.63114680891</v>
      </c>
      <c r="F83" s="229">
        <v>162405.01049017097</v>
      </c>
      <c r="G83" s="229">
        <v>156248.69038845896</v>
      </c>
      <c r="H83" s="229">
        <v>150420.46357919666</v>
      </c>
      <c r="I83" s="229">
        <v>144898.94333013709</v>
      </c>
      <c r="J83" s="229">
        <v>139664.3980810231</v>
      </c>
    </row>
    <row r="84" spans="2:10">
      <c r="B84" s="433"/>
      <c r="C84" s="384">
        <v>22</v>
      </c>
      <c r="D84" s="229">
        <v>181834.53376431999</v>
      </c>
      <c r="E84" s="229">
        <v>174707.30040660533</v>
      </c>
      <c r="F84" s="229">
        <v>167968.43669268832</v>
      </c>
      <c r="G84" s="229">
        <v>161592.05283808685</v>
      </c>
      <c r="H84" s="229">
        <v>155554.30843822227</v>
      </c>
      <c r="I84" s="229">
        <v>149833.22463522686</v>
      </c>
      <c r="J84" s="229">
        <v>144408.51577412355</v>
      </c>
    </row>
  </sheetData>
  <sheetProtection algorithmName="SHA-512" hashValue="0atn/Jy28xJHqnetiMRpFUreM3z2ycFPbss7ASVc4I1+/KV4fLl4sthasfaSemO6VU0UDXUIotZ5MKyJUnEyJA==" saltValue="XCvwacz0FR0XfHlat0aIWw==" spinCount="100000" sheet="1" objects="1" scenarios="1"/>
  <mergeCells count="7">
    <mergeCell ref="N5:R5"/>
    <mergeCell ref="D77:J77"/>
    <mergeCell ref="B79:B84"/>
    <mergeCell ref="C5:G5"/>
    <mergeCell ref="H5:M5"/>
    <mergeCell ref="B69:B74"/>
    <mergeCell ref="D67:J67"/>
  </mergeCells>
  <dataValidations disablePrompts="1" count="1">
    <dataValidation type="list" allowBlank="1" showInputMessage="1" showErrorMessage="1" sqref="D22" xr:uid="{815E178A-4352-4AB1-8AD8-F0B09E38C166}">
      <formula1>$U$3:$U$4</formula1>
    </dataValidation>
  </dataValidations>
  <pageMargins left="0.7" right="0.7" top="0.75" bottom="0.75" header="0.3" footer="0.3"/>
  <pageSetup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3AACF-4CB7-47B9-815F-B9539804798D}">
  <sheetPr>
    <tabColor rgb="FF92D050"/>
  </sheetPr>
  <dimension ref="A1"/>
  <sheetViews>
    <sheetView workbookViewId="0"/>
  </sheetViews>
  <sheetFormatPr defaultRowHeight="14.4"/>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A44B0-9F6B-406C-A59B-9D1B17A0C220}">
  <dimension ref="A2:W795"/>
  <sheetViews>
    <sheetView showGridLines="0" topLeftCell="A655" zoomScale="115" zoomScaleNormal="115" workbookViewId="0">
      <selection activeCell="F710" sqref="F710"/>
    </sheetView>
  </sheetViews>
  <sheetFormatPr defaultRowHeight="14.4"/>
  <cols>
    <col min="1" max="1" width="1.88671875" customWidth="1"/>
    <col min="2" max="2" width="28.5546875" customWidth="1"/>
    <col min="3" max="3" width="12.5546875" bestFit="1" customWidth="1"/>
    <col min="4" max="4" width="15.6640625" bestFit="1" customWidth="1"/>
    <col min="5" max="7" width="12" bestFit="1" customWidth="1"/>
    <col min="8" max="9" width="12.109375" bestFit="1" customWidth="1"/>
    <col min="10" max="11" width="12" bestFit="1" customWidth="1"/>
    <col min="12" max="12" width="9" bestFit="1" customWidth="1"/>
    <col min="13" max="14" width="9.5546875" customWidth="1"/>
    <col min="15" max="15" width="8.33203125" customWidth="1"/>
    <col min="16" max="17" width="9.5546875" bestFit="1" customWidth="1"/>
  </cols>
  <sheetData>
    <row r="2" spans="1:15" ht="18">
      <c r="A2" s="158" t="s">
        <v>29</v>
      </c>
      <c r="B2" s="157" t="s">
        <v>210</v>
      </c>
    </row>
    <row r="4" spans="1:15">
      <c r="B4" s="22" t="s">
        <v>211</v>
      </c>
    </row>
    <row r="5" spans="1:15">
      <c r="M5" s="424" t="s">
        <v>213</v>
      </c>
      <c r="N5" s="424"/>
      <c r="O5" s="424"/>
    </row>
    <row r="6" spans="1:15">
      <c r="B6" s="14" t="str">
        <f>'P&amp;L'!B2</f>
        <v>Particulars</v>
      </c>
      <c r="C6" s="70">
        <f>'P&amp;L'!C2</f>
        <v>2016</v>
      </c>
      <c r="D6" s="70">
        <f>'P&amp;L'!D2</f>
        <v>2017</v>
      </c>
      <c r="E6" s="70">
        <f>'P&amp;L'!E2</f>
        <v>2018</v>
      </c>
      <c r="F6" s="70">
        <f>'P&amp;L'!F2</f>
        <v>2019</v>
      </c>
      <c r="G6" s="70">
        <f>'P&amp;L'!G2</f>
        <v>2020</v>
      </c>
      <c r="H6" s="70">
        <f>'P&amp;L'!H2</f>
        <v>2021</v>
      </c>
      <c r="I6" s="70">
        <f>'P&amp;L'!I2</f>
        <v>2022</v>
      </c>
      <c r="J6" s="70">
        <f>'P&amp;L'!J2</f>
        <v>2023</v>
      </c>
      <c r="K6" s="70">
        <f>'P&amp;L'!K2</f>
        <v>2024</v>
      </c>
      <c r="L6" s="119"/>
      <c r="M6" s="14" t="s">
        <v>60</v>
      </c>
      <c r="N6" s="14" t="s">
        <v>59</v>
      </c>
      <c r="O6" s="14" t="s">
        <v>214</v>
      </c>
    </row>
    <row r="7" spans="1:15">
      <c r="B7" t="s">
        <v>212</v>
      </c>
      <c r="C7" s="101">
        <f>'P&amp;L'!C3</f>
        <v>6173</v>
      </c>
      <c r="D7" s="101">
        <f>'P&amp;L'!D3</f>
        <v>7033</v>
      </c>
      <c r="E7" s="101">
        <f>'P&amp;L'!E3</f>
        <v>8965</v>
      </c>
      <c r="F7" s="101">
        <f>'P&amp;L'!F3</f>
        <v>9797</v>
      </c>
      <c r="G7" s="101">
        <f>'P&amp;L'!G3</f>
        <v>9154</v>
      </c>
      <c r="H7" s="101">
        <f>'P&amp;L'!H3</f>
        <v>8720</v>
      </c>
      <c r="I7" s="101">
        <f>'P&amp;L'!I3</f>
        <v>10298</v>
      </c>
      <c r="J7" s="101">
        <f>'P&amp;L'!J3</f>
        <v>14442</v>
      </c>
      <c r="K7" s="101">
        <f>'P&amp;L'!K3</f>
        <v>16536</v>
      </c>
      <c r="M7" s="121">
        <f>_xlfn.RRI(3,H7,K7)</f>
        <v>0.23776441520115998</v>
      </c>
      <c r="N7" s="121">
        <f>_xlfn.RRI(5,F7,K7)</f>
        <v>0.11036936496739691</v>
      </c>
      <c r="O7" s="121">
        <f>_xlfn.RRI(7,D7,K7)</f>
        <v>0.12990363706067898</v>
      </c>
    </row>
    <row r="8" spans="1:15">
      <c r="B8" t="s">
        <v>215</v>
      </c>
      <c r="D8" s="120">
        <f>D7/C7-1</f>
        <v>0.13931637777417794</v>
      </c>
      <c r="E8" s="120">
        <f t="shared" ref="E8:K8" si="0">E7/D7-1</f>
        <v>0.27470496232048913</v>
      </c>
      <c r="F8" s="120">
        <f t="shared" si="0"/>
        <v>9.2805354155047315E-2</v>
      </c>
      <c r="G8" s="120">
        <f t="shared" si="0"/>
        <v>-6.5632336429519267E-2</v>
      </c>
      <c r="H8" s="120">
        <f t="shared" si="0"/>
        <v>-4.7410967882892674E-2</v>
      </c>
      <c r="I8" s="120">
        <f t="shared" si="0"/>
        <v>0.18096330275229366</v>
      </c>
      <c r="J8" s="120">
        <f t="shared" si="0"/>
        <v>0.40240823460866193</v>
      </c>
      <c r="K8" s="120">
        <f t="shared" si="0"/>
        <v>0.14499376817615284</v>
      </c>
    </row>
    <row r="10" spans="1:15" ht="18">
      <c r="B10" s="435" t="s">
        <v>232</v>
      </c>
      <c r="C10" s="435"/>
      <c r="D10" s="435"/>
    </row>
    <row r="11" spans="1:15">
      <c r="B11" s="14" t="s">
        <v>216</v>
      </c>
      <c r="C11" s="122" t="s">
        <v>217</v>
      </c>
      <c r="D11" s="122" t="s">
        <v>218</v>
      </c>
    </row>
    <row r="12" spans="1:15">
      <c r="B12" t="s">
        <v>219</v>
      </c>
      <c r="C12" s="128">
        <v>45792</v>
      </c>
      <c r="D12" s="90">
        <v>0.11411</v>
      </c>
    </row>
    <row r="13" spans="1:15">
      <c r="B13" t="s">
        <v>221</v>
      </c>
      <c r="C13" s="128">
        <v>45727</v>
      </c>
      <c r="D13" s="90">
        <v>0.12</v>
      </c>
    </row>
    <row r="14" spans="1:15">
      <c r="B14" t="s">
        <v>222</v>
      </c>
      <c r="C14" s="128">
        <v>45699</v>
      </c>
      <c r="D14" s="90">
        <v>0.13200000000000001</v>
      </c>
    </row>
    <row r="15" spans="1:15">
      <c r="B15" t="s">
        <v>223</v>
      </c>
      <c r="C15" s="126">
        <v>45689</v>
      </c>
      <c r="D15" s="90">
        <v>0.1191</v>
      </c>
    </row>
    <row r="16" spans="1:15">
      <c r="B16" t="s">
        <v>224</v>
      </c>
      <c r="C16" s="126">
        <v>45689</v>
      </c>
      <c r="D16" s="90">
        <v>0.12889999999999999</v>
      </c>
      <c r="F16" s="114"/>
      <c r="G16" s="125"/>
    </row>
    <row r="17" spans="2:4">
      <c r="B17" t="s">
        <v>225</v>
      </c>
      <c r="C17" s="126">
        <v>45778</v>
      </c>
      <c r="D17" s="90">
        <v>8.4000000000000005E-2</v>
      </c>
    </row>
    <row r="18" spans="2:4">
      <c r="B18" t="s">
        <v>226</v>
      </c>
      <c r="C18" s="127" t="s">
        <v>227</v>
      </c>
      <c r="D18" s="90">
        <v>8.5000000000000006E-2</v>
      </c>
    </row>
    <row r="19" spans="2:4">
      <c r="B19" t="s">
        <v>228</v>
      </c>
      <c r="C19" s="126">
        <v>45778</v>
      </c>
      <c r="D19" s="90">
        <v>0.1197</v>
      </c>
    </row>
    <row r="20" spans="2:4">
      <c r="B20" t="s">
        <v>229</v>
      </c>
      <c r="C20" s="126">
        <v>45778</v>
      </c>
      <c r="D20" s="90">
        <v>0.1341</v>
      </c>
    </row>
    <row r="21" spans="2:4">
      <c r="B21" t="s">
        <v>230</v>
      </c>
      <c r="C21" s="126">
        <v>45778</v>
      </c>
      <c r="D21" s="90">
        <v>0.1024</v>
      </c>
    </row>
    <row r="23" spans="2:4">
      <c r="B23" s="20" t="s">
        <v>220</v>
      </c>
      <c r="C23" s="123">
        <f>MEDIAN(D12:D21)</f>
        <v>0.11940000000000001</v>
      </c>
    </row>
    <row r="24" spans="2:4">
      <c r="B24" s="124" t="s">
        <v>231</v>
      </c>
    </row>
    <row r="25" spans="2:4">
      <c r="B25" s="124"/>
    </row>
    <row r="26" spans="2:4">
      <c r="B26" s="14" t="s">
        <v>238</v>
      </c>
      <c r="C26" s="14" t="s">
        <v>235</v>
      </c>
      <c r="D26" s="129" t="s">
        <v>234</v>
      </c>
    </row>
    <row r="27" spans="2:4">
      <c r="B27" t="s">
        <v>233</v>
      </c>
    </row>
    <row r="28" spans="2:4">
      <c r="B28" s="22" t="s">
        <v>237</v>
      </c>
      <c r="C28" t="s">
        <v>236</v>
      </c>
    </row>
    <row r="30" spans="2:4">
      <c r="B30" s="14" t="s">
        <v>240</v>
      </c>
      <c r="C30" s="14" t="s">
        <v>235</v>
      </c>
      <c r="D30" s="129" t="s">
        <v>241</v>
      </c>
    </row>
    <row r="31" spans="2:4">
      <c r="B31" t="s">
        <v>239</v>
      </c>
    </row>
    <row r="32" spans="2:4">
      <c r="B32" t="s">
        <v>242</v>
      </c>
    </row>
    <row r="33" spans="2:4">
      <c r="B33" t="s">
        <v>243</v>
      </c>
    </row>
    <row r="34" spans="2:4">
      <c r="B34" t="s">
        <v>292</v>
      </c>
    </row>
    <row r="36" spans="2:4">
      <c r="B36" s="14" t="s">
        <v>245</v>
      </c>
      <c r="C36" s="14" t="s">
        <v>235</v>
      </c>
      <c r="D36" s="129" t="s">
        <v>244</v>
      </c>
    </row>
    <row r="38" spans="2:4">
      <c r="B38" s="14" t="s">
        <v>254</v>
      </c>
      <c r="C38" s="14" t="s">
        <v>235</v>
      </c>
      <c r="D38" s="129" t="s">
        <v>251</v>
      </c>
    </row>
    <row r="39" spans="2:4">
      <c r="B39" t="s">
        <v>246</v>
      </c>
      <c r="C39" t="s">
        <v>247</v>
      </c>
    </row>
    <row r="40" spans="2:4">
      <c r="B40" t="s">
        <v>252</v>
      </c>
      <c r="C40" t="s">
        <v>248</v>
      </c>
    </row>
    <row r="41" spans="2:4">
      <c r="B41" t="s">
        <v>249</v>
      </c>
      <c r="C41" s="90">
        <v>2.4199999999999999E-2</v>
      </c>
    </row>
    <row r="42" spans="2:4">
      <c r="B42" t="s">
        <v>250</v>
      </c>
      <c r="C42" s="90">
        <v>1.9099999999999999E-2</v>
      </c>
    </row>
    <row r="44" spans="2:4">
      <c r="B44" s="14" t="s">
        <v>263</v>
      </c>
      <c r="C44" s="14" t="s">
        <v>235</v>
      </c>
      <c r="D44" s="129" t="s">
        <v>255</v>
      </c>
    </row>
    <row r="45" spans="2:4">
      <c r="B45" s="130" t="s">
        <v>253</v>
      </c>
      <c r="C45" s="131">
        <v>0.15640000000000001</v>
      </c>
    </row>
    <row r="47" spans="2:4">
      <c r="B47" s="14" t="s">
        <v>258</v>
      </c>
      <c r="C47" s="14" t="s">
        <v>235</v>
      </c>
      <c r="D47" s="129" t="s">
        <v>257</v>
      </c>
    </row>
    <row r="48" spans="2:4">
      <c r="B48" s="132" t="s">
        <v>256</v>
      </c>
    </row>
    <row r="49" spans="2:4">
      <c r="B49">
        <v>2024</v>
      </c>
      <c r="C49">
        <v>2032</v>
      </c>
      <c r="D49" s="133" t="s">
        <v>259</v>
      </c>
    </row>
    <row r="50" spans="2:4">
      <c r="B50">
        <v>299.43</v>
      </c>
      <c r="C50">
        <v>459.47</v>
      </c>
      <c r="D50" s="134">
        <f>_xlfn.RRI(C49-B49,B50,C50)</f>
        <v>5.4982440794255627E-2</v>
      </c>
    </row>
    <row r="51" spans="2:4">
      <c r="B51" t="s">
        <v>260</v>
      </c>
      <c r="D51" s="135"/>
    </row>
    <row r="52" spans="2:4">
      <c r="B52" t="s">
        <v>261</v>
      </c>
      <c r="D52" s="135"/>
    </row>
    <row r="53" spans="2:4">
      <c r="B53" t="s">
        <v>262</v>
      </c>
    </row>
    <row r="55" spans="2:4">
      <c r="B55" s="14" t="s">
        <v>264</v>
      </c>
      <c r="C55" s="14" t="s">
        <v>235</v>
      </c>
      <c r="D55" s="129" t="s">
        <v>265</v>
      </c>
    </row>
    <row r="56" spans="2:4">
      <c r="B56" t="s">
        <v>266</v>
      </c>
      <c r="C56" t="s">
        <v>268</v>
      </c>
    </row>
    <row r="58" spans="2:4">
      <c r="B58" s="14" t="s">
        <v>274</v>
      </c>
      <c r="C58" s="14" t="s">
        <v>235</v>
      </c>
      <c r="D58" s="129" t="s">
        <v>269</v>
      </c>
    </row>
    <row r="59" spans="2:4">
      <c r="B59" s="22" t="s">
        <v>267</v>
      </c>
    </row>
    <row r="60" spans="2:4">
      <c r="B60" t="s">
        <v>277</v>
      </c>
    </row>
    <row r="62" spans="2:4">
      <c r="B62" s="14" t="s">
        <v>275</v>
      </c>
      <c r="C62" s="14" t="s">
        <v>235</v>
      </c>
      <c r="D62" s="129" t="s">
        <v>271</v>
      </c>
    </row>
    <row r="63" spans="2:4">
      <c r="B63" s="22" t="s">
        <v>270</v>
      </c>
    </row>
    <row r="65" spans="2:4">
      <c r="B65" s="14" t="s">
        <v>276</v>
      </c>
      <c r="C65" s="14" t="s">
        <v>235</v>
      </c>
      <c r="D65" s="129" t="s">
        <v>273</v>
      </c>
    </row>
    <row r="66" spans="2:4">
      <c r="B66" s="22" t="s">
        <v>272</v>
      </c>
    </row>
    <row r="68" spans="2:4">
      <c r="B68" s="14" t="s">
        <v>280</v>
      </c>
      <c r="C68" s="14" t="s">
        <v>235</v>
      </c>
      <c r="D68" s="129" t="s">
        <v>279</v>
      </c>
    </row>
    <row r="69" spans="2:4">
      <c r="B69" t="s">
        <v>278</v>
      </c>
    </row>
    <row r="71" spans="2:4">
      <c r="B71" s="14" t="s">
        <v>283</v>
      </c>
      <c r="C71" s="14" t="s">
        <v>235</v>
      </c>
      <c r="D71" s="129" t="s">
        <v>282</v>
      </c>
    </row>
    <row r="72" spans="2:4">
      <c r="B72" t="s">
        <v>281</v>
      </c>
    </row>
    <row r="74" spans="2:4" ht="18">
      <c r="B74" s="16" t="s">
        <v>285</v>
      </c>
    </row>
    <row r="75" spans="2:4" ht="18">
      <c r="B75" s="156"/>
    </row>
    <row r="76" spans="2:4">
      <c r="B76" s="14" t="s">
        <v>287</v>
      </c>
      <c r="C76" s="14" t="s">
        <v>235</v>
      </c>
      <c r="D76" s="129" t="s">
        <v>286</v>
      </c>
    </row>
    <row r="77" spans="2:4">
      <c r="B77" t="s">
        <v>288</v>
      </c>
    </row>
    <row r="79" spans="2:4">
      <c r="B79" s="14" t="s">
        <v>290</v>
      </c>
      <c r="C79" s="14" t="s">
        <v>235</v>
      </c>
      <c r="D79" s="129" t="s">
        <v>291</v>
      </c>
    </row>
    <row r="80" spans="2:4">
      <c r="B80" t="s">
        <v>289</v>
      </c>
    </row>
    <row r="85" spans="5:5">
      <c r="E85" s="129" t="s">
        <v>293</v>
      </c>
    </row>
    <row r="87" spans="5:5">
      <c r="E87" t="s">
        <v>294</v>
      </c>
    </row>
    <row r="99" spans="2:4">
      <c r="B99" s="14" t="s">
        <v>296</v>
      </c>
      <c r="C99" s="14" t="s">
        <v>235</v>
      </c>
      <c r="D99" s="129" t="s">
        <v>295</v>
      </c>
    </row>
    <row r="108" spans="2:4">
      <c r="B108" s="169" t="s">
        <v>317</v>
      </c>
    </row>
    <row r="121" spans="1:16" ht="18">
      <c r="A121" s="159" t="s">
        <v>29</v>
      </c>
      <c r="B121" s="157" t="s">
        <v>359</v>
      </c>
    </row>
    <row r="123" spans="1:16">
      <c r="B123" s="22" t="s">
        <v>211</v>
      </c>
    </row>
    <row r="125" spans="1:16">
      <c r="B125" s="14" t="str">
        <f>'P&amp;L'!B2</f>
        <v>Particulars</v>
      </c>
      <c r="C125" s="70">
        <f>'P&amp;L'!C2</f>
        <v>2016</v>
      </c>
      <c r="D125" s="70">
        <f>'P&amp;L'!D2</f>
        <v>2017</v>
      </c>
      <c r="E125" s="70">
        <f>'P&amp;L'!E2</f>
        <v>2018</v>
      </c>
      <c r="F125" s="70">
        <f>'P&amp;L'!F2</f>
        <v>2019</v>
      </c>
      <c r="G125" s="70">
        <f>'P&amp;L'!G2</f>
        <v>2020</v>
      </c>
      <c r="H125" s="70">
        <f>'P&amp;L'!H2</f>
        <v>2021</v>
      </c>
      <c r="I125" s="70">
        <f>'P&amp;L'!I2</f>
        <v>2022</v>
      </c>
      <c r="J125" s="70">
        <f>'P&amp;L'!J2</f>
        <v>2023</v>
      </c>
      <c r="K125" s="70">
        <f>'P&amp;L'!K2</f>
        <v>2024</v>
      </c>
      <c r="L125" s="119"/>
      <c r="M125" s="14" t="s">
        <v>360</v>
      </c>
      <c r="N125" s="14" t="s">
        <v>361</v>
      </c>
      <c r="O125" s="14" t="s">
        <v>363</v>
      </c>
      <c r="P125" s="14" t="s">
        <v>364</v>
      </c>
    </row>
    <row r="126" spans="1:16">
      <c r="B126" t="s">
        <v>362</v>
      </c>
      <c r="C126" s="32">
        <f>'P&amp;L'!C17</f>
        <v>0.44143852259841243</v>
      </c>
      <c r="D126" s="32">
        <f>'P&amp;L'!D17</f>
        <v>0.4730555950518982</v>
      </c>
      <c r="E126" s="32">
        <f>'P&amp;L'!E17</f>
        <v>0.48298940323480199</v>
      </c>
      <c r="F126" s="32">
        <f>'P&amp;L'!F17</f>
        <v>0.48382157803409209</v>
      </c>
      <c r="G126" s="32">
        <f>'P&amp;L'!G17</f>
        <v>0.45422766003932702</v>
      </c>
      <c r="H126" s="32">
        <f>'P&amp;L'!H17</f>
        <v>0.41376146788990831</v>
      </c>
      <c r="I126" s="32">
        <f>'P&amp;L'!I17</f>
        <v>0.42163526898426884</v>
      </c>
      <c r="J126" s="32">
        <f>'P&amp;L'!J17</f>
        <v>0.43138069519457134</v>
      </c>
      <c r="K126" s="32">
        <f>'P&amp;L'!K17</f>
        <v>0.45688195452346392</v>
      </c>
      <c r="M126" s="121">
        <f>MEDIAN(C126:K126)</f>
        <v>0.45422766003932702</v>
      </c>
      <c r="N126" s="121">
        <f>AVERAGE(C126:K126)</f>
        <v>0.45102134950563827</v>
      </c>
      <c r="O126" s="121">
        <f>MIN(C126:K126)</f>
        <v>0.41376146788990831</v>
      </c>
      <c r="P126" s="121">
        <f>MAX(C126:K126)</f>
        <v>0.48382157803409209</v>
      </c>
    </row>
    <row r="128" spans="1:16">
      <c r="B128" s="14" t="s">
        <v>368</v>
      </c>
      <c r="C128" s="14" t="s">
        <v>235</v>
      </c>
      <c r="D128" s="129" t="s">
        <v>367</v>
      </c>
    </row>
    <row r="130" spans="2:12" ht="57.6">
      <c r="F130" s="165" t="s">
        <v>369</v>
      </c>
      <c r="G130" s="165" t="s">
        <v>370</v>
      </c>
      <c r="H130" s="165" t="s">
        <v>371</v>
      </c>
    </row>
    <row r="131" spans="2:12" ht="43.2">
      <c r="F131" s="163" t="s">
        <v>385</v>
      </c>
      <c r="G131" s="163" t="s">
        <v>372</v>
      </c>
      <c r="H131" s="163" t="s">
        <v>373</v>
      </c>
      <c r="K131" s="163" t="s">
        <v>412</v>
      </c>
      <c r="L131" s="91">
        <v>0.69</v>
      </c>
    </row>
    <row r="132" spans="2:12" ht="57.6">
      <c r="F132" s="164" t="s">
        <v>374</v>
      </c>
      <c r="G132" s="164" t="s">
        <v>375</v>
      </c>
      <c r="H132" s="164" t="s">
        <v>376</v>
      </c>
      <c r="K132" s="164" t="s">
        <v>411</v>
      </c>
      <c r="L132" s="91">
        <v>0.31</v>
      </c>
    </row>
    <row r="133" spans="2:12" ht="57.6">
      <c r="F133" s="163" t="s">
        <v>377</v>
      </c>
      <c r="G133" s="163" t="s">
        <v>378</v>
      </c>
      <c r="H133" s="163" t="s">
        <v>379</v>
      </c>
    </row>
    <row r="135" spans="2:12">
      <c r="B135" s="14" t="s">
        <v>381</v>
      </c>
      <c r="C135" s="14" t="s">
        <v>235</v>
      </c>
      <c r="D135" s="129" t="s">
        <v>382</v>
      </c>
    </row>
    <row r="136" spans="2:12">
      <c r="B136" t="s">
        <v>380</v>
      </c>
    </row>
    <row r="137" spans="2:12">
      <c r="B137" s="166" t="s">
        <v>384</v>
      </c>
    </row>
    <row r="138" spans="2:12">
      <c r="B138" s="26" t="s">
        <v>383</v>
      </c>
      <c r="C138" s="26"/>
      <c r="D138" s="26"/>
      <c r="E138" s="26"/>
      <c r="F138" s="26"/>
      <c r="G138" s="26"/>
      <c r="H138" s="26"/>
      <c r="I138" s="26"/>
      <c r="J138" s="26"/>
      <c r="K138" s="26"/>
      <c r="L138" s="26"/>
    </row>
    <row r="140" spans="2:12">
      <c r="B140" s="14" t="s">
        <v>387</v>
      </c>
      <c r="C140" s="14" t="s">
        <v>235</v>
      </c>
      <c r="D140" s="129" t="s">
        <v>388</v>
      </c>
    </row>
    <row r="141" spans="2:12" ht="5.4" customHeight="1">
      <c r="B141" s="167"/>
      <c r="C141" s="167"/>
      <c r="D141" s="129"/>
    </row>
    <row r="142" spans="2:12">
      <c r="B142" s="14" t="s">
        <v>394</v>
      </c>
      <c r="C142" s="14" t="s">
        <v>393</v>
      </c>
      <c r="D142" s="129"/>
    </row>
    <row r="143" spans="2:12">
      <c r="B143" t="s">
        <v>392</v>
      </c>
      <c r="C143" s="90">
        <v>0.39152931033877281</v>
      </c>
      <c r="D143" s="38" t="s">
        <v>389</v>
      </c>
    </row>
    <row r="144" spans="2:12">
      <c r="B144" t="s">
        <v>386</v>
      </c>
      <c r="C144" s="90">
        <v>0.21049999999999999</v>
      </c>
      <c r="D144" s="38" t="s">
        <v>390</v>
      </c>
    </row>
    <row r="145" spans="2:23">
      <c r="B145" t="s">
        <v>386</v>
      </c>
      <c r="C145" s="90">
        <v>0.18340000000000001</v>
      </c>
      <c r="D145" s="38" t="s">
        <v>391</v>
      </c>
    </row>
    <row r="147" spans="2:23">
      <c r="B147" s="14" t="s">
        <v>395</v>
      </c>
      <c r="C147" s="14" t="s">
        <v>235</v>
      </c>
      <c r="D147" s="129" t="s">
        <v>396</v>
      </c>
    </row>
    <row r="148" spans="2:23">
      <c r="H148" s="166" t="s">
        <v>398</v>
      </c>
      <c r="I148" s="166"/>
      <c r="J148" s="26"/>
      <c r="K148" s="26"/>
      <c r="L148" s="26"/>
      <c r="M148" s="26"/>
      <c r="N148" s="26"/>
      <c r="O148" s="26"/>
      <c r="P148" s="26"/>
      <c r="Q148" s="26"/>
      <c r="R148" s="26"/>
      <c r="S148" s="26"/>
      <c r="T148" s="26"/>
      <c r="U148" s="26"/>
      <c r="V148" s="26"/>
      <c r="W148" s="26"/>
    </row>
    <row r="149" spans="2:23">
      <c r="H149" s="26" t="s">
        <v>397</v>
      </c>
      <c r="I149" s="26"/>
      <c r="J149" s="26"/>
      <c r="K149" s="26"/>
      <c r="L149" s="26"/>
      <c r="M149" s="26"/>
      <c r="N149" s="26"/>
      <c r="O149" s="26"/>
      <c r="P149" s="26"/>
      <c r="Q149" s="26"/>
      <c r="R149" s="26"/>
      <c r="S149" s="26"/>
      <c r="T149" s="26"/>
      <c r="U149" s="26"/>
      <c r="V149" s="26"/>
      <c r="W149" s="26"/>
    </row>
    <row r="150" spans="2:23">
      <c r="H150" s="26"/>
      <c r="I150" s="26"/>
      <c r="J150" s="26"/>
      <c r="K150" s="26"/>
      <c r="L150" s="26"/>
      <c r="M150" s="26"/>
      <c r="N150" s="26"/>
      <c r="O150" s="26"/>
      <c r="P150" s="26"/>
      <c r="Q150" s="26"/>
      <c r="R150" s="26"/>
      <c r="S150" s="26"/>
      <c r="T150" s="26"/>
      <c r="U150" s="26"/>
      <c r="V150" s="26"/>
      <c r="W150" s="26"/>
    </row>
    <row r="151" spans="2:23">
      <c r="H151" s="26" t="s">
        <v>399</v>
      </c>
      <c r="I151" s="26"/>
      <c r="J151" s="26"/>
      <c r="K151" s="26"/>
      <c r="L151" s="26"/>
      <c r="M151" s="26"/>
      <c r="N151" s="26"/>
      <c r="O151" s="26"/>
      <c r="P151" s="26"/>
      <c r="Q151" s="26"/>
      <c r="R151" s="26"/>
      <c r="S151" s="26"/>
      <c r="T151" s="26"/>
      <c r="U151" s="26"/>
      <c r="V151" s="26"/>
      <c r="W151" s="26"/>
    </row>
    <row r="152" spans="2:23">
      <c r="H152" s="34" t="s">
        <v>400</v>
      </c>
      <c r="I152" s="26"/>
      <c r="J152" s="26"/>
      <c r="K152" t="s">
        <v>413</v>
      </c>
      <c r="L152" s="26"/>
      <c r="M152" s="26"/>
      <c r="N152" s="26"/>
      <c r="O152" s="26"/>
      <c r="P152" s="26"/>
      <c r="Q152" s="26"/>
      <c r="R152" s="26"/>
      <c r="S152" s="26"/>
      <c r="T152" s="26"/>
      <c r="U152" s="26"/>
      <c r="V152" s="26"/>
      <c r="W152" s="26"/>
    </row>
    <row r="153" spans="2:23">
      <c r="H153" s="26" t="s">
        <v>404</v>
      </c>
      <c r="I153" s="26"/>
      <c r="J153" s="26"/>
      <c r="K153" s="26"/>
      <c r="L153" s="26"/>
      <c r="M153" s="26"/>
      <c r="N153" s="26"/>
      <c r="O153" s="26"/>
      <c r="P153" s="26"/>
      <c r="Q153" s="26"/>
      <c r="R153" s="26"/>
      <c r="S153" s="26"/>
      <c r="T153" s="26"/>
      <c r="U153" s="26"/>
      <c r="V153" s="26"/>
      <c r="W153" s="26"/>
    </row>
    <row r="157" spans="2:23">
      <c r="D157" t="s">
        <v>401</v>
      </c>
    </row>
    <row r="158" spans="2:23">
      <c r="D158" t="s">
        <v>403</v>
      </c>
    </row>
    <row r="159" spans="2:23">
      <c r="D159" t="s">
        <v>402</v>
      </c>
    </row>
    <row r="161" spans="2:4">
      <c r="D161" t="s">
        <v>405</v>
      </c>
    </row>
    <row r="170" spans="2:4">
      <c r="B170" t="s">
        <v>406</v>
      </c>
    </row>
    <row r="172" spans="2:4">
      <c r="B172" s="14" t="s">
        <v>296</v>
      </c>
      <c r="C172" s="14" t="s">
        <v>235</v>
      </c>
      <c r="D172" s="129" t="s">
        <v>408</v>
      </c>
    </row>
    <row r="173" spans="2:4">
      <c r="B173" t="s">
        <v>407</v>
      </c>
    </row>
    <row r="179" spans="2:10">
      <c r="B179" s="14" t="s">
        <v>409</v>
      </c>
      <c r="C179" s="14" t="s">
        <v>235</v>
      </c>
      <c r="D179" s="129" t="s">
        <v>410</v>
      </c>
    </row>
    <row r="181" spans="2:10">
      <c r="I181" s="166" t="s">
        <v>398</v>
      </c>
      <c r="J181" s="166"/>
    </row>
    <row r="189" spans="2:10">
      <c r="B189" s="14" t="s">
        <v>415</v>
      </c>
      <c r="C189" s="14" t="s">
        <v>99</v>
      </c>
      <c r="D189" s="122" t="s">
        <v>235</v>
      </c>
      <c r="E189" s="129" t="s">
        <v>416</v>
      </c>
    </row>
    <row r="190" spans="2:10">
      <c r="B190" t="s">
        <v>417</v>
      </c>
      <c r="C190" s="90">
        <v>0.45500000000000002</v>
      </c>
    </row>
    <row r="191" spans="2:10">
      <c r="B191" t="s">
        <v>418</v>
      </c>
      <c r="C191" s="90">
        <v>0.45100000000000001</v>
      </c>
      <c r="E191" s="21" t="s">
        <v>361</v>
      </c>
      <c r="F191" s="168">
        <f>AVERAGE(C190:C192)</f>
        <v>0.44533333333333336</v>
      </c>
    </row>
    <row r="192" spans="2:10">
      <c r="B192" t="s">
        <v>419</v>
      </c>
      <c r="C192" s="90">
        <v>0.43</v>
      </c>
    </row>
    <row r="194" spans="2:2">
      <c r="B194" s="169" t="s">
        <v>414</v>
      </c>
    </row>
    <row r="216" spans="1:15" ht="18">
      <c r="A216" s="159" t="s">
        <v>29</v>
      </c>
      <c r="B216" s="157" t="s">
        <v>199</v>
      </c>
    </row>
    <row r="217" spans="1:15">
      <c r="M217" s="424" t="s">
        <v>213</v>
      </c>
      <c r="N217" s="424"/>
      <c r="O217" s="424"/>
    </row>
    <row r="218" spans="1:15">
      <c r="B218" s="14" t="str">
        <f>'P&amp;L'!B2</f>
        <v>Particulars</v>
      </c>
      <c r="C218" s="70">
        <f>'P&amp;L'!C2</f>
        <v>2016</v>
      </c>
      <c r="D218" s="70">
        <f>'P&amp;L'!D2</f>
        <v>2017</v>
      </c>
      <c r="E218" s="70">
        <f>'P&amp;L'!E2</f>
        <v>2018</v>
      </c>
      <c r="F218" s="70">
        <f>'P&amp;L'!F2</f>
        <v>2019</v>
      </c>
      <c r="G218" s="70">
        <f>'P&amp;L'!G2</f>
        <v>2020</v>
      </c>
      <c r="H218" s="70">
        <f>'P&amp;L'!H2</f>
        <v>2021</v>
      </c>
      <c r="I218" s="70">
        <f>'P&amp;L'!I2</f>
        <v>2022</v>
      </c>
      <c r="J218" s="70">
        <f>'P&amp;L'!J2</f>
        <v>2023</v>
      </c>
      <c r="K218" s="70">
        <f>'P&amp;L'!K2</f>
        <v>2024</v>
      </c>
      <c r="L218" s="119"/>
      <c r="M218" s="14" t="s">
        <v>60</v>
      </c>
      <c r="N218" s="14" t="s">
        <v>59</v>
      </c>
      <c r="O218" s="14" t="s">
        <v>214</v>
      </c>
    </row>
    <row r="219" spans="1:15">
      <c r="B219" t="s">
        <v>212</v>
      </c>
      <c r="C219" s="101">
        <f>'P&amp;L'!C3</f>
        <v>6173</v>
      </c>
      <c r="D219" s="101">
        <f>'P&amp;L'!D3</f>
        <v>7033</v>
      </c>
      <c r="E219" s="101">
        <f>'P&amp;L'!E3</f>
        <v>8965</v>
      </c>
      <c r="F219" s="101">
        <f>'P&amp;L'!F3</f>
        <v>9797</v>
      </c>
      <c r="G219" s="101">
        <f>'P&amp;L'!G3</f>
        <v>9154</v>
      </c>
      <c r="H219" s="101">
        <f>'P&amp;L'!H3</f>
        <v>8720</v>
      </c>
      <c r="I219" s="101">
        <f>'P&amp;L'!I3</f>
        <v>10298</v>
      </c>
      <c r="J219" s="101">
        <f>'P&amp;L'!J3</f>
        <v>14442</v>
      </c>
      <c r="K219" s="101">
        <f>'P&amp;L'!K3</f>
        <v>16536</v>
      </c>
      <c r="M219" s="121">
        <f>_xlfn.RRI(3,H219,K219)</f>
        <v>0.23776441520115998</v>
      </c>
      <c r="N219" s="121">
        <f>_xlfn.RRI(5,F219,K219)</f>
        <v>0.11036936496739691</v>
      </c>
      <c r="O219" s="121">
        <f>_xlfn.RRI(7,D219,K219)</f>
        <v>0.12990363706067898</v>
      </c>
    </row>
    <row r="220" spans="1:15">
      <c r="B220" s="40" t="s">
        <v>61</v>
      </c>
      <c r="D220" s="120">
        <f>D219/C219-1</f>
        <v>0.13931637777417794</v>
      </c>
      <c r="E220" s="120">
        <f t="shared" ref="E220" si="1">E219/D219-1</f>
        <v>0.27470496232048913</v>
      </c>
      <c r="F220" s="120">
        <f t="shared" ref="F220" si="2">F219/E219-1</f>
        <v>9.2805354155047315E-2</v>
      </c>
      <c r="G220" s="120">
        <f t="shared" ref="G220" si="3">G219/F219-1</f>
        <v>-6.5632336429519267E-2</v>
      </c>
      <c r="H220" s="120">
        <f t="shared" ref="H220" si="4">H219/G219-1</f>
        <v>-4.7410967882892674E-2</v>
      </c>
      <c r="I220" s="120">
        <f t="shared" ref="I220" si="5">I219/H219-1</f>
        <v>0.18096330275229366</v>
      </c>
      <c r="J220" s="120">
        <f t="shared" ref="J220" si="6">J219/I219-1</f>
        <v>0.40240823460866193</v>
      </c>
      <c r="K220" s="120">
        <f t="shared" ref="K220" si="7">K219/J219-1</f>
        <v>0.14499376817615284</v>
      </c>
    </row>
    <row r="222" spans="1:15">
      <c r="B222" t="s">
        <v>199</v>
      </c>
      <c r="C222" s="101">
        <f>'P&amp;L'!C34</f>
        <v>1035</v>
      </c>
      <c r="D222" s="101">
        <f>'P&amp;L'!D34</f>
        <v>1152</v>
      </c>
      <c r="E222" s="101">
        <f>'P&amp;L'!E34</f>
        <v>1522</v>
      </c>
      <c r="F222" s="101">
        <f>'P&amp;L'!F34</f>
        <v>1836</v>
      </c>
      <c r="G222" s="101">
        <f>'P&amp;L'!G34</f>
        <v>1978</v>
      </c>
      <c r="H222" s="101">
        <f>'P&amp;L'!H34</f>
        <v>1827</v>
      </c>
      <c r="I222" s="101">
        <f>'P&amp;L'!I34</f>
        <v>2169</v>
      </c>
      <c r="J222" s="101">
        <f>'P&amp;L'!J34</f>
        <v>2786</v>
      </c>
      <c r="K222" s="101">
        <f>'P&amp;L'!K34</f>
        <v>3230</v>
      </c>
      <c r="M222" s="121">
        <f>_xlfn.RRI(3,H222,K222)</f>
        <v>0.20917174860912491</v>
      </c>
      <c r="N222" s="121">
        <f>_xlfn.RRI(5,F222,K222)</f>
        <v>0.11960793838186667</v>
      </c>
      <c r="O222" s="121">
        <f>_xlfn.RRI(7,D222,K222)</f>
        <v>0.158682084288436</v>
      </c>
    </row>
    <row r="223" spans="1:15">
      <c r="B223" s="40" t="s">
        <v>421</v>
      </c>
      <c r="D223" s="120">
        <f>D222/C222-1</f>
        <v>0.11304347826086958</v>
      </c>
      <c r="E223" s="120">
        <f t="shared" ref="E223:K223" si="8">E222/D222-1</f>
        <v>0.32118055555555558</v>
      </c>
      <c r="F223" s="120">
        <f t="shared" si="8"/>
        <v>0.20630749014454675</v>
      </c>
      <c r="G223" s="120">
        <f t="shared" si="8"/>
        <v>7.734204793028332E-2</v>
      </c>
      <c r="H223" s="120">
        <f t="shared" si="8"/>
        <v>-7.6339737108190087E-2</v>
      </c>
      <c r="I223" s="120">
        <f t="shared" si="8"/>
        <v>0.18719211822660098</v>
      </c>
      <c r="J223" s="120">
        <f t="shared" si="8"/>
        <v>0.28446288612263726</v>
      </c>
      <c r="K223" s="120">
        <f t="shared" si="8"/>
        <v>0.1593682699210337</v>
      </c>
    </row>
    <row r="226" spans="2:11">
      <c r="B226" s="14" t="s">
        <v>428</v>
      </c>
      <c r="C226" s="167"/>
    </row>
    <row r="227" spans="2:11">
      <c r="B227" s="167"/>
      <c r="C227" s="167"/>
    </row>
    <row r="228" spans="2:11">
      <c r="B228" s="14" t="s">
        <v>199</v>
      </c>
      <c r="C228" s="143">
        <v>2016</v>
      </c>
      <c r="D228" s="143">
        <f>C228+1</f>
        <v>2017</v>
      </c>
      <c r="E228" s="143">
        <f t="shared" ref="E228:K228" si="9">D228+1</f>
        <v>2018</v>
      </c>
      <c r="F228" s="143">
        <f t="shared" si="9"/>
        <v>2019</v>
      </c>
      <c r="G228" s="143">
        <f t="shared" si="9"/>
        <v>2020</v>
      </c>
      <c r="H228" s="143">
        <f t="shared" si="9"/>
        <v>2021</v>
      </c>
      <c r="I228" s="143">
        <f t="shared" si="9"/>
        <v>2022</v>
      </c>
      <c r="J228" s="143">
        <f t="shared" si="9"/>
        <v>2023</v>
      </c>
      <c r="K228" s="143">
        <f t="shared" si="9"/>
        <v>2024</v>
      </c>
    </row>
    <row r="229" spans="2:11">
      <c r="B229" s="106" t="s">
        <v>198</v>
      </c>
      <c r="C229" s="101">
        <v>350</v>
      </c>
      <c r="D229" s="101">
        <v>426</v>
      </c>
      <c r="E229" s="101">
        <v>574</v>
      </c>
      <c r="F229" s="101">
        <v>702</v>
      </c>
      <c r="G229" s="101">
        <v>796</v>
      </c>
      <c r="H229" s="101">
        <v>843</v>
      </c>
      <c r="I229" s="101">
        <v>821</v>
      </c>
      <c r="J229" s="101">
        <v>1002</v>
      </c>
      <c r="K229" s="101">
        <v>1236</v>
      </c>
    </row>
    <row r="230" spans="2:11">
      <c r="B230" s="106" t="s">
        <v>197</v>
      </c>
      <c r="C230" s="101">
        <v>46</v>
      </c>
      <c r="D230" s="101">
        <v>46</v>
      </c>
      <c r="E230" s="101">
        <v>52</v>
      </c>
      <c r="F230" s="101">
        <v>67</v>
      </c>
      <c r="G230" s="101">
        <v>63</v>
      </c>
      <c r="H230" s="101">
        <v>53</v>
      </c>
      <c r="I230" s="101">
        <v>56</v>
      </c>
      <c r="J230" s="101">
        <v>73</v>
      </c>
      <c r="K230" s="101">
        <v>81</v>
      </c>
    </row>
    <row r="231" spans="2:11">
      <c r="B231" s="180" t="s">
        <v>422</v>
      </c>
      <c r="C231" s="179">
        <v>39</v>
      </c>
      <c r="D231" s="179">
        <v>42</v>
      </c>
      <c r="E231" s="179">
        <v>46</v>
      </c>
      <c r="F231" s="179">
        <v>55</v>
      </c>
      <c r="G231" s="179">
        <v>18</v>
      </c>
      <c r="H231" s="179">
        <v>20</v>
      </c>
      <c r="I231" s="179">
        <v>34</v>
      </c>
      <c r="J231" s="179">
        <v>52</v>
      </c>
      <c r="K231" s="179">
        <v>107</v>
      </c>
    </row>
    <row r="232" spans="2:11">
      <c r="B232" s="180" t="s">
        <v>423</v>
      </c>
      <c r="C232" s="179">
        <v>7.5</v>
      </c>
      <c r="D232" s="179">
        <v>9.3000000000000007</v>
      </c>
      <c r="E232" s="179">
        <v>12</v>
      </c>
      <c r="F232" s="179">
        <v>13</v>
      </c>
      <c r="G232" s="179">
        <v>18</v>
      </c>
      <c r="H232" s="179">
        <v>26</v>
      </c>
      <c r="I232" s="179">
        <v>32</v>
      </c>
      <c r="J232" s="179">
        <v>38</v>
      </c>
      <c r="K232" s="179">
        <v>43</v>
      </c>
    </row>
    <row r="233" spans="2:11">
      <c r="B233" s="180" t="s">
        <v>424</v>
      </c>
      <c r="C233" s="179">
        <v>0</v>
      </c>
      <c r="D233" s="179">
        <v>0</v>
      </c>
      <c r="E233" s="179">
        <v>0</v>
      </c>
      <c r="F233" s="179">
        <v>0</v>
      </c>
      <c r="G233" s="179">
        <v>0</v>
      </c>
      <c r="H233" s="179">
        <v>0</v>
      </c>
      <c r="I233" s="179">
        <v>0</v>
      </c>
      <c r="J233" s="179">
        <v>0</v>
      </c>
      <c r="K233" s="179">
        <v>0</v>
      </c>
    </row>
    <row r="234" spans="2:11">
      <c r="B234" s="180" t="s">
        <v>425</v>
      </c>
      <c r="C234" s="179">
        <v>39</v>
      </c>
      <c r="D234" s="179">
        <v>26</v>
      </c>
      <c r="E234" s="179">
        <v>30</v>
      </c>
      <c r="F234" s="179">
        <v>58</v>
      </c>
      <c r="G234" s="179">
        <v>59</v>
      </c>
      <c r="H234" s="179">
        <v>59</v>
      </c>
      <c r="I234" s="179">
        <v>71</v>
      </c>
      <c r="J234" s="179">
        <v>61</v>
      </c>
      <c r="K234" s="179">
        <v>89</v>
      </c>
    </row>
    <row r="235" spans="2:11">
      <c r="B235" s="180" t="s">
        <v>426</v>
      </c>
      <c r="C235" s="179">
        <v>30</v>
      </c>
      <c r="D235" s="179">
        <v>41</v>
      </c>
      <c r="E235" s="179">
        <v>74</v>
      </c>
      <c r="F235" s="179">
        <v>94</v>
      </c>
      <c r="G235" s="179">
        <v>92</v>
      </c>
      <c r="H235" s="179">
        <v>33</v>
      </c>
      <c r="I235" s="179">
        <v>50</v>
      </c>
      <c r="J235" s="179">
        <v>111</v>
      </c>
      <c r="K235" s="179">
        <v>137</v>
      </c>
    </row>
    <row r="236" spans="2:11">
      <c r="B236" s="180" t="s">
        <v>427</v>
      </c>
      <c r="C236" s="179">
        <v>0.8</v>
      </c>
      <c r="D236" s="179">
        <v>0.6</v>
      </c>
      <c r="E236" s="179">
        <v>0.6</v>
      </c>
      <c r="F236" s="179">
        <v>0.6</v>
      </c>
      <c r="G236" s="179">
        <v>0.7</v>
      </c>
      <c r="H236" s="179">
        <v>0.9</v>
      </c>
      <c r="I236" s="179">
        <v>0.8</v>
      </c>
      <c r="J236" s="179">
        <v>1.2</v>
      </c>
      <c r="K236" s="179">
        <v>1.3</v>
      </c>
    </row>
    <row r="237" spans="2:11">
      <c r="B237" s="106" t="s">
        <v>195</v>
      </c>
      <c r="C237" s="101">
        <v>271</v>
      </c>
      <c r="D237" s="101">
        <v>292</v>
      </c>
      <c r="E237" s="101">
        <v>392</v>
      </c>
      <c r="F237" s="101">
        <v>421</v>
      </c>
      <c r="G237" s="101">
        <v>467</v>
      </c>
      <c r="H237" s="101">
        <v>375</v>
      </c>
      <c r="I237" s="101">
        <v>615</v>
      </c>
      <c r="J237" s="101">
        <v>741</v>
      </c>
      <c r="K237" s="101">
        <v>867</v>
      </c>
    </row>
    <row r="238" spans="2:11">
      <c r="B238" s="106" t="s">
        <v>194</v>
      </c>
      <c r="C238" s="101">
        <v>86</v>
      </c>
      <c r="D238" s="101">
        <v>90</v>
      </c>
      <c r="E238" s="101">
        <v>112</v>
      </c>
      <c r="F238" s="101">
        <v>149</v>
      </c>
      <c r="G238" s="101">
        <v>196</v>
      </c>
      <c r="H238" s="101">
        <v>158</v>
      </c>
      <c r="I238" s="101">
        <v>145</v>
      </c>
      <c r="J238" s="101">
        <v>295</v>
      </c>
      <c r="K238" s="101">
        <v>237</v>
      </c>
    </row>
    <row r="239" spans="2:11">
      <c r="B239" s="106" t="s">
        <v>193</v>
      </c>
      <c r="C239" s="101">
        <v>166</v>
      </c>
      <c r="D239" s="101">
        <v>179</v>
      </c>
      <c r="E239" s="101">
        <v>229</v>
      </c>
      <c r="F239" s="101">
        <v>276</v>
      </c>
      <c r="G239" s="101">
        <v>268</v>
      </c>
      <c r="H239" s="101">
        <v>259</v>
      </c>
      <c r="I239" s="101">
        <v>344</v>
      </c>
      <c r="J239" s="101">
        <v>412</v>
      </c>
      <c r="K239" s="101">
        <v>432</v>
      </c>
    </row>
    <row r="240" spans="2:11" ht="15" thickBot="1">
      <c r="B240" s="103" t="s">
        <v>192</v>
      </c>
      <c r="C240" s="102">
        <f t="shared" ref="C240:K240" si="10">SUM(C229:C239)</f>
        <v>1035.3</v>
      </c>
      <c r="D240" s="102">
        <f t="shared" si="10"/>
        <v>1151.9000000000001</v>
      </c>
      <c r="E240" s="102">
        <f t="shared" si="10"/>
        <v>1521.6</v>
      </c>
      <c r="F240" s="102">
        <f t="shared" si="10"/>
        <v>1835.6</v>
      </c>
      <c r="G240" s="102">
        <f t="shared" si="10"/>
        <v>1977.7</v>
      </c>
      <c r="H240" s="102">
        <f t="shared" si="10"/>
        <v>1826.9</v>
      </c>
      <c r="I240" s="102">
        <f t="shared" si="10"/>
        <v>2168.8000000000002</v>
      </c>
      <c r="J240" s="102">
        <f t="shared" si="10"/>
        <v>2786.2</v>
      </c>
      <c r="K240" s="102">
        <f t="shared" si="10"/>
        <v>3230.3</v>
      </c>
    </row>
    <row r="241" spans="2:14">
      <c r="B241" s="108"/>
      <c r="C241" s="107"/>
      <c r="D241" s="107"/>
      <c r="E241" s="107"/>
      <c r="F241" s="107"/>
      <c r="G241" s="107"/>
      <c r="H241" s="107"/>
      <c r="I241" s="107"/>
      <c r="J241" s="107"/>
      <c r="K241" s="107"/>
      <c r="M241" s="14" t="s">
        <v>430</v>
      </c>
      <c r="N241" s="14" t="s">
        <v>361</v>
      </c>
    </row>
    <row r="242" spans="2:14">
      <c r="B242" s="108" t="s">
        <v>432</v>
      </c>
      <c r="C242" s="183">
        <f t="shared" ref="C242:K242" si="11">C229/C219</f>
        <v>5.6698525838328205E-2</v>
      </c>
      <c r="D242" s="183">
        <f t="shared" si="11"/>
        <v>6.0571591070666855E-2</v>
      </c>
      <c r="E242" s="183">
        <f t="shared" si="11"/>
        <v>6.4026770775237038E-2</v>
      </c>
      <c r="F242" s="183">
        <f t="shared" si="11"/>
        <v>7.1654588139226288E-2</v>
      </c>
      <c r="G242" s="183">
        <f t="shared" si="11"/>
        <v>8.6956521739130432E-2</v>
      </c>
      <c r="H242" s="183">
        <f t="shared" si="11"/>
        <v>9.66743119266055E-2</v>
      </c>
      <c r="I242" s="183">
        <f t="shared" si="11"/>
        <v>7.9724218294814533E-2</v>
      </c>
      <c r="J242" s="183">
        <f t="shared" si="11"/>
        <v>6.9380972164520147E-2</v>
      </c>
      <c r="K242" s="183">
        <f t="shared" si="11"/>
        <v>7.474600870827286E-2</v>
      </c>
      <c r="M242" s="160">
        <f>MEDIAN(C242:K242)</f>
        <v>7.1654588139226288E-2</v>
      </c>
      <c r="N242" s="160">
        <f>AVERAGE(C242:K242)</f>
        <v>7.3381500961866866E-2</v>
      </c>
    </row>
    <row r="243" spans="2:14">
      <c r="B243" s="108" t="s">
        <v>433</v>
      </c>
      <c r="C243" s="183">
        <f>C237/C219</f>
        <v>4.3900858577676984E-2</v>
      </c>
      <c r="D243" s="183">
        <f t="shared" ref="D243:K243" si="12">D237/D219</f>
        <v>4.1518555381771648E-2</v>
      </c>
      <c r="E243" s="183">
        <f t="shared" si="12"/>
        <v>4.372559955382041E-2</v>
      </c>
      <c r="F243" s="183">
        <f t="shared" si="12"/>
        <v>4.2972338470960499E-2</v>
      </c>
      <c r="G243" s="183">
        <f t="shared" si="12"/>
        <v>5.1015949311776269E-2</v>
      </c>
      <c r="H243" s="183">
        <f t="shared" si="12"/>
        <v>4.3004587155963302E-2</v>
      </c>
      <c r="I243" s="183">
        <f t="shared" si="12"/>
        <v>5.9720334045445717E-2</v>
      </c>
      <c r="J243" s="183">
        <f t="shared" si="12"/>
        <v>5.1308683007893645E-2</v>
      </c>
      <c r="K243" s="183">
        <f t="shared" si="12"/>
        <v>5.2431059506531208E-2</v>
      </c>
      <c r="M243" s="160">
        <f>MEDIAN(C243:K243)</f>
        <v>4.3900858577676984E-2</v>
      </c>
      <c r="N243" s="160">
        <f>AVERAGE(C243:K243)</f>
        <v>4.7733107223537741E-2</v>
      </c>
    </row>
    <row r="244" spans="2:14">
      <c r="B244" s="108" t="s">
        <v>434</v>
      </c>
      <c r="C244" s="183">
        <f>C239/C219</f>
        <v>2.6891300826178518E-2</v>
      </c>
      <c r="D244" s="183">
        <f t="shared" ref="D244:K244" si="13">D239/D219</f>
        <v>2.5451443196360016E-2</v>
      </c>
      <c r="E244" s="183">
        <f t="shared" si="13"/>
        <v>2.5543781372002233E-2</v>
      </c>
      <c r="F244" s="183">
        <f t="shared" si="13"/>
        <v>2.8171889353883841E-2</v>
      </c>
      <c r="G244" s="183">
        <f t="shared" si="13"/>
        <v>2.9276818876993665E-2</v>
      </c>
      <c r="H244" s="183">
        <f t="shared" si="13"/>
        <v>2.9701834862385323E-2</v>
      </c>
      <c r="I244" s="183">
        <f t="shared" si="13"/>
        <v>3.3404544571761507E-2</v>
      </c>
      <c r="J244" s="183">
        <f t="shared" si="13"/>
        <v>2.8527904722337627E-2</v>
      </c>
      <c r="K244" s="183">
        <f t="shared" si="13"/>
        <v>2.6124818577648767E-2</v>
      </c>
      <c r="M244" s="160">
        <f>MEDIAN(C244:K244)</f>
        <v>2.8171889353883841E-2</v>
      </c>
      <c r="N244" s="160">
        <f>AVERAGE(C244:K244)</f>
        <v>2.8121592928839052E-2</v>
      </c>
    </row>
    <row r="245" spans="2:14">
      <c r="B245" s="108" t="s">
        <v>435</v>
      </c>
      <c r="C245" s="183">
        <f t="shared" ref="C245:K245" si="14">SUM(C230:C236,C238)/C219</f>
        <v>4.0223554187591125E-2</v>
      </c>
      <c r="D245" s="183">
        <f t="shared" si="14"/>
        <v>3.6243423858950664E-2</v>
      </c>
      <c r="E245" s="183">
        <f t="shared" si="14"/>
        <v>3.6430563301728947E-2</v>
      </c>
      <c r="F245" s="183">
        <f t="shared" si="14"/>
        <v>4.4564662651832197E-2</v>
      </c>
      <c r="G245" s="183">
        <f t="shared" si="14"/>
        <v>4.8798339523705485E-2</v>
      </c>
      <c r="H245" s="183">
        <f t="shared" si="14"/>
        <v>4.0126146788990825E-2</v>
      </c>
      <c r="I245" s="183">
        <f t="shared" si="14"/>
        <v>3.7754903864828125E-2</v>
      </c>
      <c r="J245" s="183">
        <f t="shared" si="14"/>
        <v>4.3705857914416286E-2</v>
      </c>
      <c r="K245" s="183">
        <f t="shared" si="14"/>
        <v>4.2047653604257378E-2</v>
      </c>
      <c r="M245" s="160">
        <f>MEDIAN(C245:K245)</f>
        <v>4.0223554187591125E-2</v>
      </c>
      <c r="N245" s="160">
        <f>AVERAGE(C245:K245)</f>
        <v>4.1099456188477893E-2</v>
      </c>
    </row>
    <row r="246" spans="2:14" ht="15" thickBot="1">
      <c r="B246" s="103" t="s">
        <v>431</v>
      </c>
      <c r="C246" s="182">
        <f t="shared" ref="C246:K246" si="15">C240/C219</f>
        <v>0.16771423942977481</v>
      </c>
      <c r="D246" s="182">
        <f t="shared" si="15"/>
        <v>0.16378501350774918</v>
      </c>
      <c r="E246" s="182">
        <f t="shared" si="15"/>
        <v>0.1697267150027886</v>
      </c>
      <c r="F246" s="182">
        <f t="shared" si="15"/>
        <v>0.18736347861590283</v>
      </c>
      <c r="G246" s="182">
        <f t="shared" si="15"/>
        <v>0.21604762945160585</v>
      </c>
      <c r="H246" s="182">
        <f t="shared" si="15"/>
        <v>0.20950688073394497</v>
      </c>
      <c r="I246" s="182">
        <f t="shared" si="15"/>
        <v>0.2106040007768499</v>
      </c>
      <c r="J246" s="182">
        <f t="shared" si="15"/>
        <v>0.19292341780916769</v>
      </c>
      <c r="K246" s="182">
        <f t="shared" si="15"/>
        <v>0.19534954039671021</v>
      </c>
      <c r="M246" s="189">
        <f>MEDIAN(C246:K246)</f>
        <v>0.19292341780916769</v>
      </c>
      <c r="N246" s="189">
        <f>AVERAGE(C246:K246)</f>
        <v>0.19033565730272156</v>
      </c>
    </row>
    <row r="247" spans="2:14">
      <c r="B247" s="108"/>
      <c r="C247" s="183"/>
      <c r="D247" s="183"/>
      <c r="E247" s="183"/>
      <c r="F247" s="183"/>
      <c r="G247" s="183"/>
      <c r="H247" s="183"/>
      <c r="I247" s="183"/>
      <c r="J247" s="183"/>
      <c r="K247" s="183"/>
      <c r="M247" s="188"/>
      <c r="N247" s="188"/>
    </row>
    <row r="248" spans="2:14">
      <c r="B248" s="14" t="s">
        <v>429</v>
      </c>
      <c r="C248" s="143">
        <v>2016</v>
      </c>
      <c r="D248" s="143">
        <f>C248+1</f>
        <v>2017</v>
      </c>
      <c r="E248" s="143">
        <f t="shared" ref="E248:K248" si="16">D248+1</f>
        <v>2018</v>
      </c>
      <c r="F248" s="143">
        <f t="shared" si="16"/>
        <v>2019</v>
      </c>
      <c r="G248" s="143">
        <f t="shared" si="16"/>
        <v>2020</v>
      </c>
      <c r="H248" s="143">
        <f t="shared" si="16"/>
        <v>2021</v>
      </c>
      <c r="I248" s="143">
        <f t="shared" si="16"/>
        <v>2022</v>
      </c>
      <c r="J248" s="143">
        <f t="shared" si="16"/>
        <v>2023</v>
      </c>
      <c r="K248" s="143">
        <f t="shared" si="16"/>
        <v>2024</v>
      </c>
      <c r="M248" s="14" t="s">
        <v>430</v>
      </c>
      <c r="N248" s="14" t="s">
        <v>361</v>
      </c>
    </row>
    <row r="249" spans="2:14">
      <c r="B249" s="181" t="s">
        <v>198</v>
      </c>
      <c r="C249" s="160">
        <f t="shared" ref="C249:K249" si="17">C229/C$240</f>
        <v>0.33806626098715348</v>
      </c>
      <c r="D249" s="160">
        <f t="shared" si="17"/>
        <v>0.36982376942442918</v>
      </c>
      <c r="E249" s="160">
        <f t="shared" si="17"/>
        <v>0.37723449001051529</v>
      </c>
      <c r="F249" s="160">
        <f t="shared" si="17"/>
        <v>0.3824362606232295</v>
      </c>
      <c r="G249" s="160">
        <f t="shared" si="17"/>
        <v>0.40248773828184253</v>
      </c>
      <c r="H249" s="160">
        <f t="shared" si="17"/>
        <v>0.46143740763041213</v>
      </c>
      <c r="I249" s="160">
        <f t="shared" si="17"/>
        <v>0.37855035042419766</v>
      </c>
      <c r="J249" s="160">
        <f t="shared" si="17"/>
        <v>0.35962960304357189</v>
      </c>
      <c r="K249" s="160">
        <f t="shared" si="17"/>
        <v>0.38262700058818067</v>
      </c>
      <c r="M249" s="160">
        <f>MEDIAN(C249:K249)</f>
        <v>0.37855035042419766</v>
      </c>
      <c r="N249" s="160">
        <f>AVERAGE(C249:K249)</f>
        <v>0.3835880978903925</v>
      </c>
    </row>
    <row r="250" spans="2:14">
      <c r="B250" s="106" t="s">
        <v>197</v>
      </c>
      <c r="C250" s="146">
        <f t="shared" ref="C250:K250" si="18">C230/C$240</f>
        <v>4.4431565729740177E-2</v>
      </c>
      <c r="D250" s="146">
        <f t="shared" si="18"/>
        <v>3.9934022050525216E-2</v>
      </c>
      <c r="E250" s="146">
        <f t="shared" si="18"/>
        <v>3.41745531019979E-2</v>
      </c>
      <c r="F250" s="146">
        <f t="shared" si="18"/>
        <v>3.6500326868598824E-2</v>
      </c>
      <c r="G250" s="146">
        <f t="shared" si="18"/>
        <v>3.1855185316276485E-2</v>
      </c>
      <c r="H250" s="146">
        <f t="shared" si="18"/>
        <v>2.901089276917182E-2</v>
      </c>
      <c r="I250" s="146">
        <f t="shared" si="18"/>
        <v>2.5820730357801545E-2</v>
      </c>
      <c r="J250" s="146">
        <f t="shared" si="18"/>
        <v>2.6200559902375999E-2</v>
      </c>
      <c r="K250" s="146">
        <f t="shared" si="18"/>
        <v>2.5075070426895333E-2</v>
      </c>
      <c r="M250" s="45">
        <f t="shared" ref="M250:M259" si="19">MEDIAN(C250:K250)</f>
        <v>3.1855185316276485E-2</v>
      </c>
      <c r="N250" s="45">
        <f t="shared" ref="N250:N259" si="20">AVERAGE(C250:K250)</f>
        <v>3.2555878502598147E-2</v>
      </c>
    </row>
    <row r="251" spans="2:14">
      <c r="B251" s="180" t="s">
        <v>422</v>
      </c>
      <c r="C251" s="146">
        <f t="shared" ref="C251:K251" si="21">C231/C$240</f>
        <v>3.7670240509997101E-2</v>
      </c>
      <c r="D251" s="146">
        <f t="shared" si="21"/>
        <v>3.6461498393957806E-2</v>
      </c>
      <c r="E251" s="146">
        <f t="shared" si="21"/>
        <v>3.0231335436382758E-2</v>
      </c>
      <c r="F251" s="146">
        <f t="shared" si="21"/>
        <v>2.9962954892133364E-2</v>
      </c>
      <c r="G251" s="146">
        <f t="shared" si="21"/>
        <v>9.1014815189361369E-3</v>
      </c>
      <c r="H251" s="146">
        <f t="shared" si="21"/>
        <v>1.0947506705347856E-2</v>
      </c>
      <c r="I251" s="146">
        <f t="shared" si="21"/>
        <v>1.567687200295094E-2</v>
      </c>
      <c r="J251" s="146">
        <f t="shared" si="21"/>
        <v>1.866341253319934E-2</v>
      </c>
      <c r="K251" s="146">
        <f t="shared" si="21"/>
        <v>3.3123858465158036E-2</v>
      </c>
      <c r="M251" s="45">
        <f t="shared" si="19"/>
        <v>2.9962954892133364E-2</v>
      </c>
      <c r="N251" s="45">
        <f t="shared" si="20"/>
        <v>2.464879560645148E-2</v>
      </c>
    </row>
    <row r="252" spans="2:14">
      <c r="B252" s="180" t="s">
        <v>423</v>
      </c>
      <c r="C252" s="146">
        <f t="shared" ref="C252:K252" si="22">C232/C$240</f>
        <v>7.2442770211532895E-3</v>
      </c>
      <c r="D252" s="146">
        <f t="shared" si="22"/>
        <v>8.0736175015192289E-3</v>
      </c>
      <c r="E252" s="146">
        <f t="shared" si="22"/>
        <v>7.8864353312302852E-3</v>
      </c>
      <c r="F252" s="146">
        <f t="shared" si="22"/>
        <v>7.0821529745042494E-3</v>
      </c>
      <c r="G252" s="146">
        <f t="shared" si="22"/>
        <v>9.1014815189361369E-3</v>
      </c>
      <c r="H252" s="146">
        <f t="shared" si="22"/>
        <v>1.4231758716952213E-2</v>
      </c>
      <c r="I252" s="146">
        <f t="shared" si="22"/>
        <v>1.4754703061600883E-2</v>
      </c>
      <c r="J252" s="146">
        <f t="shared" si="22"/>
        <v>1.3638647620414904E-2</v>
      </c>
      <c r="K252" s="146">
        <f t="shared" si="22"/>
        <v>1.3311457140203695E-2</v>
      </c>
      <c r="M252" s="45">
        <f t="shared" si="19"/>
        <v>9.1014815189361369E-3</v>
      </c>
      <c r="N252" s="45">
        <f t="shared" si="20"/>
        <v>1.0591614542946099E-2</v>
      </c>
    </row>
    <row r="253" spans="2:14">
      <c r="B253" s="180" t="s">
        <v>424</v>
      </c>
      <c r="C253" s="146">
        <f t="shared" ref="C253:K253" si="23">C233/C$240</f>
        <v>0</v>
      </c>
      <c r="D253" s="146">
        <f t="shared" si="23"/>
        <v>0</v>
      </c>
      <c r="E253" s="146">
        <f t="shared" si="23"/>
        <v>0</v>
      </c>
      <c r="F253" s="146">
        <f t="shared" si="23"/>
        <v>0</v>
      </c>
      <c r="G253" s="146">
        <f t="shared" si="23"/>
        <v>0</v>
      </c>
      <c r="H253" s="146">
        <f t="shared" si="23"/>
        <v>0</v>
      </c>
      <c r="I253" s="146">
        <f t="shared" si="23"/>
        <v>0</v>
      </c>
      <c r="J253" s="146">
        <f t="shared" si="23"/>
        <v>0</v>
      </c>
      <c r="K253" s="146">
        <f t="shared" si="23"/>
        <v>0</v>
      </c>
      <c r="M253" s="45">
        <f t="shared" si="19"/>
        <v>0</v>
      </c>
      <c r="N253" s="45">
        <f t="shared" si="20"/>
        <v>0</v>
      </c>
    </row>
    <row r="254" spans="2:14">
      <c r="B254" s="180" t="s">
        <v>425</v>
      </c>
      <c r="C254" s="146">
        <f t="shared" ref="C254:K254" si="24">C234/C$240</f>
        <v>3.7670240509997101E-2</v>
      </c>
      <c r="D254" s="146">
        <f t="shared" si="24"/>
        <v>2.2571403767688167E-2</v>
      </c>
      <c r="E254" s="146">
        <f t="shared" si="24"/>
        <v>1.9716088328075712E-2</v>
      </c>
      <c r="F254" s="146">
        <f t="shared" si="24"/>
        <v>3.159729788624973E-2</v>
      </c>
      <c r="G254" s="146">
        <f t="shared" si="24"/>
        <v>2.9832633867624008E-2</v>
      </c>
      <c r="H254" s="146">
        <f t="shared" si="24"/>
        <v>3.2295144780776178E-2</v>
      </c>
      <c r="I254" s="146">
        <f t="shared" si="24"/>
        <v>3.2736997417926961E-2</v>
      </c>
      <c r="J254" s="146">
        <f t="shared" si="24"/>
        <v>2.1893618548560766E-2</v>
      </c>
      <c r="K254" s="146">
        <f t="shared" si="24"/>
        <v>2.7551620592514627E-2</v>
      </c>
      <c r="M254" s="45">
        <f t="shared" si="19"/>
        <v>2.9832633867624008E-2</v>
      </c>
      <c r="N254" s="45">
        <f t="shared" si="20"/>
        <v>2.8429449522157028E-2</v>
      </c>
    </row>
    <row r="255" spans="2:14">
      <c r="B255" s="180" t="s">
        <v>426</v>
      </c>
      <c r="C255" s="146">
        <f t="shared" ref="C255:K255" si="25">C235/C$240</f>
        <v>2.8977108084613158E-2</v>
      </c>
      <c r="D255" s="146">
        <f t="shared" si="25"/>
        <v>3.5593367479815952E-2</v>
      </c>
      <c r="E255" s="146">
        <f t="shared" si="25"/>
        <v>4.8633017875920087E-2</v>
      </c>
      <c r="F255" s="146">
        <f t="shared" si="25"/>
        <v>5.1209413815646115E-2</v>
      </c>
      <c r="G255" s="146">
        <f t="shared" si="25"/>
        <v>4.6518683319006923E-2</v>
      </c>
      <c r="H255" s="146">
        <f t="shared" si="25"/>
        <v>1.8063386063823964E-2</v>
      </c>
      <c r="I255" s="146">
        <f t="shared" si="25"/>
        <v>2.3054223533751382E-2</v>
      </c>
      <c r="J255" s="146">
        <f t="shared" si="25"/>
        <v>3.9839207522790902E-2</v>
      </c>
      <c r="K255" s="146">
        <f t="shared" si="25"/>
        <v>4.2410921586230381E-2</v>
      </c>
      <c r="M255" s="45">
        <f t="shared" si="19"/>
        <v>3.9839207522790902E-2</v>
      </c>
      <c r="N255" s="45">
        <f t="shared" si="20"/>
        <v>3.7144369920177646E-2</v>
      </c>
    </row>
    <row r="256" spans="2:14">
      <c r="B256" s="180" t="s">
        <v>427</v>
      </c>
      <c r="C256" s="146">
        <f t="shared" ref="C256:K256" si="26">C236/C$240</f>
        <v>7.7272288225635087E-4</v>
      </c>
      <c r="D256" s="146">
        <f t="shared" si="26"/>
        <v>5.2087854848511151E-4</v>
      </c>
      <c r="E256" s="146">
        <f t="shared" si="26"/>
        <v>3.9432176656151418E-4</v>
      </c>
      <c r="F256" s="146">
        <f t="shared" si="26"/>
        <v>3.2686859882327305E-4</v>
      </c>
      <c r="G256" s="146">
        <f t="shared" si="26"/>
        <v>3.539465035141831E-4</v>
      </c>
      <c r="H256" s="146">
        <f t="shared" si="26"/>
        <v>4.9263780174065356E-4</v>
      </c>
      <c r="I256" s="146">
        <f t="shared" si="26"/>
        <v>3.6886757654002215E-4</v>
      </c>
      <c r="J256" s="146">
        <f t="shared" si="26"/>
        <v>4.3069413538152323E-4</v>
      </c>
      <c r="K256" s="146">
        <f t="shared" si="26"/>
        <v>4.0243940191313498E-4</v>
      </c>
      <c r="M256" s="45">
        <f t="shared" si="19"/>
        <v>4.0243940191313498E-4</v>
      </c>
      <c r="N256" s="45">
        <f t="shared" si="20"/>
        <v>4.5148635724619635E-4</v>
      </c>
    </row>
    <row r="257" spans="1:15">
      <c r="B257" s="181" t="s">
        <v>195</v>
      </c>
      <c r="C257" s="160">
        <f t="shared" ref="C257:K257" si="27">C237/C$240</f>
        <v>0.26175987636433884</v>
      </c>
      <c r="D257" s="160">
        <f t="shared" si="27"/>
        <v>0.25349422692942092</v>
      </c>
      <c r="E257" s="160">
        <f t="shared" si="27"/>
        <v>0.25762355415352262</v>
      </c>
      <c r="F257" s="160">
        <f t="shared" si="27"/>
        <v>0.22935280017432993</v>
      </c>
      <c r="G257" s="160">
        <f t="shared" si="27"/>
        <v>0.23613288163017646</v>
      </c>
      <c r="H257" s="160">
        <f t="shared" si="27"/>
        <v>0.20526575072527231</v>
      </c>
      <c r="I257" s="160">
        <f t="shared" si="27"/>
        <v>0.28356694946514199</v>
      </c>
      <c r="J257" s="160">
        <f t="shared" si="27"/>
        <v>0.26595362859809063</v>
      </c>
      <c r="K257" s="160">
        <f t="shared" si="27"/>
        <v>0.26839612419899078</v>
      </c>
      <c r="M257" s="160">
        <f t="shared" si="19"/>
        <v>0.25762355415352262</v>
      </c>
      <c r="N257" s="160">
        <f t="shared" si="20"/>
        <v>0.25128286580436493</v>
      </c>
    </row>
    <row r="258" spans="1:15">
      <c r="B258" s="187" t="s">
        <v>194</v>
      </c>
      <c r="C258" s="188">
        <f t="shared" ref="C258:K258" si="28">C238/C$240</f>
        <v>8.3067709842557722E-2</v>
      </c>
      <c r="D258" s="188">
        <f t="shared" si="28"/>
        <v>7.8131782272766723E-2</v>
      </c>
      <c r="E258" s="188">
        <f t="shared" si="28"/>
        <v>7.3606729758149317E-2</v>
      </c>
      <c r="F258" s="188">
        <f t="shared" si="28"/>
        <v>8.1172368707779483E-2</v>
      </c>
      <c r="G258" s="188">
        <f t="shared" si="28"/>
        <v>9.9105020983971281E-2</v>
      </c>
      <c r="H258" s="188">
        <f t="shared" si="28"/>
        <v>8.648530297224806E-2</v>
      </c>
      <c r="I258" s="188">
        <f t="shared" si="28"/>
        <v>6.6857248247879003E-2</v>
      </c>
      <c r="J258" s="188">
        <f t="shared" si="28"/>
        <v>0.1058789749479578</v>
      </c>
      <c r="K258" s="188">
        <f t="shared" si="28"/>
        <v>7.3367798656471528E-2</v>
      </c>
      <c r="M258" s="188">
        <f t="shared" si="19"/>
        <v>8.1172368707779483E-2</v>
      </c>
      <c r="N258" s="188">
        <f t="shared" si="20"/>
        <v>8.3074770709975654E-2</v>
      </c>
    </row>
    <row r="259" spans="1:15">
      <c r="B259" s="181" t="s">
        <v>193</v>
      </c>
      <c r="C259" s="160">
        <f t="shared" ref="C259:K259" si="29">C239/C$240</f>
        <v>0.1603399980681928</v>
      </c>
      <c r="D259" s="160">
        <f t="shared" si="29"/>
        <v>0.15539543363139161</v>
      </c>
      <c r="E259" s="160">
        <f t="shared" si="29"/>
        <v>0.15049947423764459</v>
      </c>
      <c r="F259" s="160">
        <f t="shared" si="29"/>
        <v>0.15035955545870561</v>
      </c>
      <c r="G259" s="160">
        <f t="shared" si="29"/>
        <v>0.13551094705971584</v>
      </c>
      <c r="H259" s="160">
        <f t="shared" si="29"/>
        <v>0.14177021183425473</v>
      </c>
      <c r="I259" s="160">
        <f t="shared" si="29"/>
        <v>0.1586130579122095</v>
      </c>
      <c r="J259" s="160">
        <f t="shared" si="29"/>
        <v>0.14787165314765632</v>
      </c>
      <c r="K259" s="160">
        <f t="shared" si="29"/>
        <v>0.13373370894344178</v>
      </c>
      <c r="M259" s="160">
        <f t="shared" si="19"/>
        <v>0.15035955545870561</v>
      </c>
      <c r="N259" s="160">
        <f t="shared" si="20"/>
        <v>0.14823267114369032</v>
      </c>
    </row>
    <row r="260" spans="1:15" ht="15" thickBot="1">
      <c r="B260" s="103" t="s">
        <v>192</v>
      </c>
      <c r="C260" s="182">
        <f t="shared" ref="C260:K260" si="30">C240/C$240</f>
        <v>1</v>
      </c>
      <c r="D260" s="182">
        <f t="shared" si="30"/>
        <v>1</v>
      </c>
      <c r="E260" s="182">
        <f t="shared" si="30"/>
        <v>1</v>
      </c>
      <c r="F260" s="182">
        <f t="shared" si="30"/>
        <v>1</v>
      </c>
      <c r="G260" s="182">
        <f t="shared" si="30"/>
        <v>1</v>
      </c>
      <c r="H260" s="182">
        <f t="shared" si="30"/>
        <v>1</v>
      </c>
      <c r="I260" s="182">
        <f t="shared" si="30"/>
        <v>1</v>
      </c>
      <c r="J260" s="182">
        <f t="shared" si="30"/>
        <v>1</v>
      </c>
      <c r="K260" s="182">
        <f t="shared" si="30"/>
        <v>1</v>
      </c>
    </row>
    <row r="261" spans="1:15">
      <c r="B261" s="108"/>
      <c r="C261" s="183"/>
      <c r="D261" s="183"/>
      <c r="E261" s="183"/>
      <c r="F261" s="183"/>
      <c r="G261" s="183"/>
      <c r="H261" s="183"/>
      <c r="I261" s="183"/>
      <c r="J261" s="183"/>
      <c r="K261" s="183"/>
    </row>
    <row r="262" spans="1:15">
      <c r="B262" s="169" t="s">
        <v>467</v>
      </c>
      <c r="C262" s="183"/>
      <c r="D262" s="183"/>
      <c r="E262" s="183"/>
      <c r="F262" s="183"/>
      <c r="G262" s="183"/>
      <c r="H262" s="183"/>
      <c r="I262" s="183"/>
      <c r="J262" s="183"/>
      <c r="K262" s="183"/>
    </row>
    <row r="263" spans="1:15">
      <c r="B263" s="108"/>
      <c r="C263" s="183"/>
      <c r="D263" s="183"/>
      <c r="E263" s="183"/>
      <c r="F263" s="183"/>
      <c r="G263" s="183"/>
      <c r="H263" s="183"/>
      <c r="I263" s="183"/>
      <c r="J263" s="183"/>
      <c r="K263" s="183"/>
    </row>
    <row r="264" spans="1:15">
      <c r="B264" s="108"/>
      <c r="C264" s="183"/>
      <c r="D264" s="183"/>
      <c r="E264" s="183"/>
      <c r="F264" s="183"/>
      <c r="G264" s="183"/>
      <c r="H264" s="183"/>
      <c r="I264" s="183"/>
      <c r="J264" s="183"/>
      <c r="K264" s="183"/>
    </row>
    <row r="265" spans="1:15">
      <c r="B265" s="108"/>
      <c r="C265" s="183"/>
      <c r="D265" s="183"/>
      <c r="E265" s="183"/>
      <c r="F265" s="183"/>
      <c r="G265" s="183"/>
      <c r="H265" s="183"/>
      <c r="I265" s="183"/>
      <c r="J265" s="183"/>
      <c r="K265" s="183"/>
    </row>
    <row r="266" spans="1:15">
      <c r="B266" s="108"/>
      <c r="C266" s="183"/>
      <c r="D266" s="183"/>
      <c r="E266" s="183"/>
      <c r="F266" s="183"/>
      <c r="G266" s="183"/>
      <c r="H266" s="183"/>
      <c r="I266" s="183"/>
      <c r="J266" s="183"/>
      <c r="K266" s="183"/>
    </row>
    <row r="267" spans="1:15">
      <c r="B267" s="108"/>
      <c r="C267" s="183"/>
      <c r="D267" s="183"/>
      <c r="E267" s="183"/>
      <c r="F267" s="183"/>
      <c r="G267" s="183"/>
      <c r="H267" s="183"/>
      <c r="I267" s="183"/>
      <c r="J267" s="183"/>
      <c r="K267" s="183"/>
    </row>
    <row r="268" spans="1:15" ht="18">
      <c r="A268" s="159" t="s">
        <v>29</v>
      </c>
      <c r="B268" s="157" t="s">
        <v>87</v>
      </c>
    </row>
    <row r="269" spans="1:15" ht="18">
      <c r="A269" s="159"/>
      <c r="B269" s="171"/>
    </row>
    <row r="270" spans="1:15" ht="18">
      <c r="A270" s="159"/>
      <c r="B270" s="205" t="s">
        <v>465</v>
      </c>
      <c r="M270" s="424" t="s">
        <v>213</v>
      </c>
      <c r="N270" s="424"/>
      <c r="O270" s="424"/>
    </row>
    <row r="271" spans="1:15">
      <c r="B271" s="14" t="s">
        <v>87</v>
      </c>
      <c r="C271" s="70">
        <v>2016</v>
      </c>
      <c r="D271" s="70">
        <v>2017</v>
      </c>
      <c r="E271" s="70">
        <v>2018</v>
      </c>
      <c r="F271" s="70">
        <v>2019</v>
      </c>
      <c r="G271" s="70">
        <v>2020</v>
      </c>
      <c r="H271" s="70">
        <v>2021</v>
      </c>
      <c r="I271" s="70">
        <v>2022</v>
      </c>
      <c r="J271" s="70">
        <v>2023</v>
      </c>
      <c r="K271" s="70">
        <v>2024</v>
      </c>
      <c r="M271" s="14" t="s">
        <v>60</v>
      </c>
      <c r="N271" s="14" t="s">
        <v>59</v>
      </c>
      <c r="O271" s="14" t="s">
        <v>214</v>
      </c>
    </row>
    <row r="272" spans="1:15">
      <c r="B272" s="201" t="s">
        <v>168</v>
      </c>
      <c r="C272" s="101">
        <v>308</v>
      </c>
      <c r="D272" s="101">
        <v>336</v>
      </c>
      <c r="E272" s="101">
        <v>395</v>
      </c>
      <c r="F272" s="101">
        <v>633</v>
      </c>
      <c r="G272" s="101">
        <v>572</v>
      </c>
      <c r="H272" s="101">
        <v>875</v>
      </c>
      <c r="I272" s="101">
        <v>1132</v>
      </c>
      <c r="J272" s="101">
        <v>1278</v>
      </c>
      <c r="K272" s="101">
        <v>1410</v>
      </c>
      <c r="M272" s="121">
        <f>_xlfn.RRI(3,H272,K272)</f>
        <v>0.17238526984430846</v>
      </c>
      <c r="N272" s="121">
        <f>_xlfn.RRI(5,F272,K272)</f>
        <v>0.17371615036591503</v>
      </c>
      <c r="O272" s="121">
        <f>_xlfn.RRI(7,D272,K272)</f>
        <v>0.22739071503449138</v>
      </c>
    </row>
    <row r="273" spans="2:15">
      <c r="B273" s="201" t="s">
        <v>444</v>
      </c>
      <c r="C273" s="101">
        <v>583</v>
      </c>
      <c r="D273" s="101">
        <v>884</v>
      </c>
      <c r="E273" s="101">
        <v>633</v>
      </c>
      <c r="F273" s="101">
        <v>469</v>
      </c>
      <c r="G273" s="101">
        <v>2512</v>
      </c>
      <c r="H273" s="101">
        <v>1076</v>
      </c>
      <c r="I273" s="101">
        <v>425</v>
      </c>
      <c r="J273" s="101">
        <v>220</v>
      </c>
      <c r="K273" s="101">
        <v>181</v>
      </c>
      <c r="M273" s="121">
        <f t="shared" ref="M273:M278" si="31">_xlfn.RRI(3,H273,K273)</f>
        <v>-0.44797920969519434</v>
      </c>
      <c r="N273" s="121">
        <f t="shared" ref="N273:N278" si="32">_xlfn.RRI(5,F273,K273)</f>
        <v>-0.17338906444907309</v>
      </c>
      <c r="O273" s="121">
        <f t="shared" ref="O273:O278" si="33">_xlfn.RRI(7,D273,K273)</f>
        <v>-0.20273305480965986</v>
      </c>
    </row>
    <row r="274" spans="2:15">
      <c r="B274" s="201" t="s">
        <v>445</v>
      </c>
      <c r="C274" s="101">
        <v>33</v>
      </c>
      <c r="D274" s="101">
        <v>50</v>
      </c>
      <c r="E274" s="101">
        <v>68</v>
      </c>
      <c r="F274" s="101">
        <v>84</v>
      </c>
      <c r="G274" s="101">
        <v>87</v>
      </c>
      <c r="H274" s="101">
        <v>158</v>
      </c>
      <c r="I274" s="101">
        <v>302</v>
      </c>
      <c r="J274" s="101">
        <v>369</v>
      </c>
      <c r="K274" s="101">
        <v>374</v>
      </c>
      <c r="M274" s="121">
        <f t="shared" si="31"/>
        <v>0.33271771862057853</v>
      </c>
      <c r="N274" s="121">
        <f t="shared" si="32"/>
        <v>0.3480886840952333</v>
      </c>
      <c r="O274" s="121">
        <f t="shared" si="33"/>
        <v>0.33303970563600083</v>
      </c>
    </row>
    <row r="275" spans="2:15">
      <c r="B275" s="201" t="s">
        <v>453</v>
      </c>
      <c r="C275" s="101">
        <v>67</v>
      </c>
      <c r="D275" s="101">
        <v>61</v>
      </c>
      <c r="E275" s="101">
        <v>174</v>
      </c>
      <c r="F275" s="101">
        <v>157</v>
      </c>
      <c r="G275" s="101">
        <v>126</v>
      </c>
      <c r="H275" s="101">
        <v>620</v>
      </c>
      <c r="I275" s="101">
        <v>913</v>
      </c>
      <c r="J275" s="101">
        <v>964</v>
      </c>
      <c r="K275" s="101">
        <v>1907</v>
      </c>
      <c r="M275" s="121">
        <f t="shared" si="31"/>
        <v>0.45429664151942051</v>
      </c>
      <c r="N275" s="121">
        <f t="shared" si="32"/>
        <v>0.64774578028198326</v>
      </c>
      <c r="O275" s="121">
        <f t="shared" si="33"/>
        <v>0.6352132905476271</v>
      </c>
    </row>
    <row r="276" spans="2:15">
      <c r="B276" s="201" t="s">
        <v>411</v>
      </c>
      <c r="C276" s="101">
        <v>8.5</v>
      </c>
      <c r="D276" s="101">
        <v>26</v>
      </c>
      <c r="E276" s="101">
        <v>53</v>
      </c>
      <c r="F276" s="101">
        <v>107</v>
      </c>
      <c r="G276" s="101">
        <v>127</v>
      </c>
      <c r="H276" s="101">
        <v>249</v>
      </c>
      <c r="I276" s="101">
        <v>125</v>
      </c>
      <c r="J276" s="101">
        <v>86</v>
      </c>
      <c r="K276" s="101">
        <v>134</v>
      </c>
      <c r="M276" s="121">
        <f t="shared" si="31"/>
        <v>-0.18660440318982485</v>
      </c>
      <c r="N276" s="121">
        <f t="shared" si="32"/>
        <v>4.6030153952631769E-2</v>
      </c>
      <c r="O276" s="121">
        <f t="shared" si="33"/>
        <v>0.26395922615864498</v>
      </c>
    </row>
    <row r="277" spans="2:15">
      <c r="B277" s="201" t="s">
        <v>449</v>
      </c>
      <c r="C277" s="101">
        <v>49</v>
      </c>
      <c r="D277" s="101">
        <v>24</v>
      </c>
      <c r="E277" s="101">
        <v>1212</v>
      </c>
      <c r="F277" s="101">
        <v>2965</v>
      </c>
      <c r="G277" s="101">
        <v>2951</v>
      </c>
      <c r="H277" s="101">
        <v>5830</v>
      </c>
      <c r="I277" s="101">
        <v>2722</v>
      </c>
      <c r="J277" s="101">
        <v>766</v>
      </c>
      <c r="K277" s="101">
        <v>145</v>
      </c>
      <c r="M277" s="121">
        <f t="shared" si="31"/>
        <v>-0.70810063571447768</v>
      </c>
      <c r="N277" s="121">
        <f t="shared" si="32"/>
        <v>-0.45314944035416083</v>
      </c>
      <c r="O277" s="121">
        <f t="shared" si="33"/>
        <v>0.29298600123480112</v>
      </c>
    </row>
    <row r="278" spans="2:15" ht="15" thickBot="1">
      <c r="B278" s="103" t="s">
        <v>11</v>
      </c>
      <c r="C278" s="102">
        <f>SUM(C272:C277)</f>
        <v>1048.5</v>
      </c>
      <c r="D278" s="102">
        <f t="shared" ref="D278:K278" si="34">SUM(D272:D277)</f>
        <v>1381</v>
      </c>
      <c r="E278" s="102">
        <f t="shared" si="34"/>
        <v>2535</v>
      </c>
      <c r="F278" s="102">
        <f t="shared" si="34"/>
        <v>4415</v>
      </c>
      <c r="G278" s="102">
        <f t="shared" si="34"/>
        <v>6375</v>
      </c>
      <c r="H278" s="102">
        <f t="shared" si="34"/>
        <v>8808</v>
      </c>
      <c r="I278" s="102">
        <f t="shared" si="34"/>
        <v>5619</v>
      </c>
      <c r="J278" s="102">
        <f t="shared" si="34"/>
        <v>3683</v>
      </c>
      <c r="K278" s="102">
        <f t="shared" si="34"/>
        <v>4151</v>
      </c>
      <c r="M278" s="121">
        <f t="shared" si="31"/>
        <v>-0.22179895592841758</v>
      </c>
      <c r="N278" s="121">
        <f t="shared" si="32"/>
        <v>-1.2255989012707746E-2</v>
      </c>
      <c r="O278" s="121">
        <f t="shared" si="33"/>
        <v>0.17025327440712035</v>
      </c>
    </row>
    <row r="280" spans="2:15" ht="15" thickBot="1">
      <c r="B280" s="195" t="s">
        <v>462</v>
      </c>
      <c r="C280" s="196">
        <v>5833</v>
      </c>
      <c r="D280" s="196">
        <v>7009</v>
      </c>
      <c r="E280" s="196">
        <v>9522</v>
      </c>
      <c r="F280" s="196">
        <v>11387</v>
      </c>
      <c r="G280" s="196">
        <v>12450</v>
      </c>
      <c r="H280" s="196">
        <v>14559</v>
      </c>
      <c r="I280" s="196">
        <v>16140</v>
      </c>
      <c r="J280" s="196">
        <v>19198</v>
      </c>
      <c r="K280" s="196">
        <v>23115</v>
      </c>
      <c r="M280" s="121">
        <f t="shared" ref="M280" si="35">_xlfn.RRI(3,H280,K280)</f>
        <v>0.16659680831773604</v>
      </c>
      <c r="N280" s="121">
        <f t="shared" ref="N280" si="36">_xlfn.RRI(5,F280,K280)</f>
        <v>0.15211787688322587</v>
      </c>
      <c r="O280" s="121">
        <f t="shared" ref="O280" si="37">_xlfn.RRI(7,D280,K280)</f>
        <v>0.18586151986374921</v>
      </c>
    </row>
    <row r="282" spans="2:15">
      <c r="B282" s="40" t="s">
        <v>463</v>
      </c>
      <c r="C282" s="202">
        <f>C278/C280</f>
        <v>0.17975312875021429</v>
      </c>
      <c r="D282" s="202">
        <f t="shared" ref="D282:K282" si="38">D278/D280</f>
        <v>0.1970323869310886</v>
      </c>
      <c r="E282" s="202">
        <f t="shared" si="38"/>
        <v>0.26622558286074355</v>
      </c>
      <c r="F282" s="202">
        <f t="shared" si="38"/>
        <v>0.38772284183718275</v>
      </c>
      <c r="G282" s="202">
        <f t="shared" si="38"/>
        <v>0.51204819277108438</v>
      </c>
      <c r="H282" s="202">
        <f t="shared" si="38"/>
        <v>0.60498660622295486</v>
      </c>
      <c r="I282" s="202">
        <f t="shared" si="38"/>
        <v>0.34814126394052047</v>
      </c>
      <c r="J282" s="202">
        <f t="shared" si="38"/>
        <v>0.19184290030211482</v>
      </c>
      <c r="K282" s="202">
        <f t="shared" si="38"/>
        <v>0.17958035907419426</v>
      </c>
    </row>
    <row r="284" spans="2:15">
      <c r="B284" s="14" t="s">
        <v>464</v>
      </c>
      <c r="C284" s="70">
        <v>2016</v>
      </c>
      <c r="D284" s="70">
        <v>2017</v>
      </c>
      <c r="E284" s="70">
        <v>2018</v>
      </c>
      <c r="F284" s="70">
        <v>2019</v>
      </c>
      <c r="G284" s="70">
        <v>2020</v>
      </c>
      <c r="H284" s="70">
        <v>2021</v>
      </c>
      <c r="I284" s="70">
        <v>2022</v>
      </c>
      <c r="J284" s="70">
        <v>2023</v>
      </c>
      <c r="K284" s="70">
        <v>2024</v>
      </c>
    </row>
    <row r="285" spans="2:15">
      <c r="B285" s="201" t="s">
        <v>168</v>
      </c>
      <c r="C285" s="203">
        <f>C272/C$278</f>
        <v>0.29375298044825943</v>
      </c>
      <c r="D285" s="203">
        <f t="shared" ref="D285:K285" si="39">D272/D$278</f>
        <v>0.24330195510499639</v>
      </c>
      <c r="E285" s="203">
        <f t="shared" si="39"/>
        <v>0.15581854043392504</v>
      </c>
      <c r="F285" s="203">
        <f t="shared" si="39"/>
        <v>0.14337485843714609</v>
      </c>
      <c r="G285" s="203">
        <f t="shared" si="39"/>
        <v>8.9725490196078436E-2</v>
      </c>
      <c r="H285" s="203">
        <f t="shared" si="39"/>
        <v>9.934150772025431E-2</v>
      </c>
      <c r="I285" s="203">
        <f t="shared" si="39"/>
        <v>0.201459334401139</v>
      </c>
      <c r="J285" s="203">
        <f t="shared" si="39"/>
        <v>0.34699972848221561</v>
      </c>
      <c r="K285" s="203">
        <f t="shared" si="39"/>
        <v>0.33967718622018789</v>
      </c>
    </row>
    <row r="286" spans="2:15">
      <c r="B286" s="201" t="s">
        <v>444</v>
      </c>
      <c r="C286" s="203">
        <f t="shared" ref="C286:K286" si="40">C273/C$278</f>
        <v>0.55603242727706248</v>
      </c>
      <c r="D286" s="203">
        <f t="shared" si="40"/>
        <v>0.64011585807385951</v>
      </c>
      <c r="E286" s="203">
        <f t="shared" si="40"/>
        <v>0.24970414201183433</v>
      </c>
      <c r="F286" s="203">
        <f t="shared" si="40"/>
        <v>0.10622876557191394</v>
      </c>
      <c r="G286" s="203">
        <f t="shared" si="40"/>
        <v>0.39403921568627454</v>
      </c>
      <c r="H286" s="203">
        <f t="shared" si="40"/>
        <v>0.12216167120799273</v>
      </c>
      <c r="I286" s="203">
        <f t="shared" si="40"/>
        <v>7.5636234205374617E-2</v>
      </c>
      <c r="J286" s="203">
        <f t="shared" si="40"/>
        <v>5.9733912571273418E-2</v>
      </c>
      <c r="K286" s="203">
        <f t="shared" si="40"/>
        <v>4.3603950855215609E-2</v>
      </c>
    </row>
    <row r="287" spans="2:15">
      <c r="B287" s="201" t="s">
        <v>445</v>
      </c>
      <c r="C287" s="203">
        <f t="shared" ref="C287:K287" si="41">C274/C$278</f>
        <v>3.1473533619456366E-2</v>
      </c>
      <c r="D287" s="203">
        <f t="shared" si="41"/>
        <v>3.6205648081100654E-2</v>
      </c>
      <c r="E287" s="203">
        <f t="shared" si="41"/>
        <v>2.6824457593688362E-2</v>
      </c>
      <c r="F287" s="203">
        <f t="shared" si="41"/>
        <v>1.9026047565118914E-2</v>
      </c>
      <c r="G287" s="203">
        <f t="shared" si="41"/>
        <v>1.3647058823529411E-2</v>
      </c>
      <c r="H287" s="203">
        <f t="shared" si="41"/>
        <v>1.7938237965485923E-2</v>
      </c>
      <c r="I287" s="203">
        <f t="shared" si="41"/>
        <v>5.3746218188289729E-2</v>
      </c>
      <c r="J287" s="203">
        <f t="shared" si="41"/>
        <v>0.10019006244909041</v>
      </c>
      <c r="K287" s="203">
        <f t="shared" si="41"/>
        <v>9.0098771380390269E-2</v>
      </c>
    </row>
    <row r="288" spans="2:15">
      <c r="B288" s="201" t="s">
        <v>453</v>
      </c>
      <c r="C288" s="203">
        <f t="shared" ref="C288:K288" si="42">C275/C$278</f>
        <v>6.3900810681926559E-2</v>
      </c>
      <c r="D288" s="203">
        <f t="shared" si="42"/>
        <v>4.4170890658942794E-2</v>
      </c>
      <c r="E288" s="203">
        <f t="shared" si="42"/>
        <v>6.8639053254437865E-2</v>
      </c>
      <c r="F288" s="203">
        <f t="shared" si="42"/>
        <v>3.5560588901472255E-2</v>
      </c>
      <c r="G288" s="203">
        <f t="shared" si="42"/>
        <v>1.9764705882352941E-2</v>
      </c>
      <c r="H288" s="203">
        <f t="shared" si="42"/>
        <v>7.0390554041780198E-2</v>
      </c>
      <c r="I288" s="203">
        <f t="shared" si="42"/>
        <v>0.16248442783413419</v>
      </c>
      <c r="J288" s="203">
        <f t="shared" si="42"/>
        <v>0.26174314417594352</v>
      </c>
      <c r="K288" s="203">
        <f t="shared" si="42"/>
        <v>0.45940737171765839</v>
      </c>
    </row>
    <row r="289" spans="1:14">
      <c r="B289" s="201" t="s">
        <v>411</v>
      </c>
      <c r="C289" s="203">
        <f t="shared" ref="C289:K289" si="43">C276/C$278</f>
        <v>8.1068192656175483E-3</v>
      </c>
      <c r="D289" s="203">
        <f t="shared" si="43"/>
        <v>1.8826937002172341E-2</v>
      </c>
      <c r="E289" s="203">
        <f t="shared" si="43"/>
        <v>2.0907297830374753E-2</v>
      </c>
      <c r="F289" s="203">
        <f t="shared" si="43"/>
        <v>2.4235560588901472E-2</v>
      </c>
      <c r="G289" s="203">
        <f t="shared" si="43"/>
        <v>1.9921568627450981E-2</v>
      </c>
      <c r="H289" s="203">
        <f t="shared" si="43"/>
        <v>2.8269754768392372E-2</v>
      </c>
      <c r="I289" s="203">
        <f t="shared" si="43"/>
        <v>2.2245951236874888E-2</v>
      </c>
      <c r="J289" s="203">
        <f t="shared" si="43"/>
        <v>2.3350529459679609E-2</v>
      </c>
      <c r="K289" s="203">
        <f t="shared" si="43"/>
        <v>3.228137798120935E-2</v>
      </c>
    </row>
    <row r="290" spans="1:14">
      <c r="B290" s="201" t="s">
        <v>449</v>
      </c>
      <c r="C290" s="203">
        <f t="shared" ref="C290:K290" si="44">C277/C$278</f>
        <v>4.6733428707677632E-2</v>
      </c>
      <c r="D290" s="203">
        <f t="shared" si="44"/>
        <v>1.7378711078928313E-2</v>
      </c>
      <c r="E290" s="203">
        <f t="shared" si="44"/>
        <v>0.47810650887573963</v>
      </c>
      <c r="F290" s="203">
        <f t="shared" si="44"/>
        <v>0.67157417893544735</v>
      </c>
      <c r="G290" s="203">
        <f t="shared" si="44"/>
        <v>0.46290196078431373</v>
      </c>
      <c r="H290" s="203">
        <f t="shared" si="44"/>
        <v>0.66189827429609449</v>
      </c>
      <c r="I290" s="203">
        <f t="shared" si="44"/>
        <v>0.48442783413418755</v>
      </c>
      <c r="J290" s="203">
        <f t="shared" si="44"/>
        <v>0.20798262286179744</v>
      </c>
      <c r="K290" s="203">
        <f t="shared" si="44"/>
        <v>3.4931341845338471E-2</v>
      </c>
    </row>
    <row r="291" spans="1:14" ht="15" thickBot="1">
      <c r="B291" s="103" t="s">
        <v>11</v>
      </c>
      <c r="C291" s="204">
        <f t="shared" ref="C291:K291" si="45">C278/C$278</f>
        <v>1</v>
      </c>
      <c r="D291" s="204">
        <f t="shared" si="45"/>
        <v>1</v>
      </c>
      <c r="E291" s="204">
        <f t="shared" si="45"/>
        <v>1</v>
      </c>
      <c r="F291" s="204">
        <f t="shared" si="45"/>
        <v>1</v>
      </c>
      <c r="G291" s="204">
        <f t="shared" si="45"/>
        <v>1</v>
      </c>
      <c r="H291" s="204">
        <f t="shared" si="45"/>
        <v>1</v>
      </c>
      <c r="I291" s="204">
        <f t="shared" si="45"/>
        <v>1</v>
      </c>
      <c r="J291" s="204">
        <f t="shared" si="45"/>
        <v>1</v>
      </c>
      <c r="K291" s="204">
        <f t="shared" si="45"/>
        <v>1</v>
      </c>
    </row>
    <row r="293" spans="1:14" ht="18">
      <c r="A293" t="s">
        <v>29</v>
      </c>
      <c r="B293" s="219" t="s">
        <v>7</v>
      </c>
    </row>
    <row r="295" spans="1:14">
      <c r="B295" s="14" t="s">
        <v>209</v>
      </c>
      <c r="C295" s="70">
        <v>2016</v>
      </c>
      <c r="D295" s="70">
        <v>2017</v>
      </c>
      <c r="E295" s="70">
        <v>2018</v>
      </c>
      <c r="F295" s="70">
        <v>2019</v>
      </c>
      <c r="G295" s="70">
        <v>2020</v>
      </c>
      <c r="H295" s="70">
        <v>2021</v>
      </c>
      <c r="I295" s="70">
        <v>2022</v>
      </c>
      <c r="J295" s="70">
        <v>2023</v>
      </c>
      <c r="K295" s="70">
        <v>2024</v>
      </c>
      <c r="M295" s="14" t="s">
        <v>430</v>
      </c>
      <c r="N295" s="14" t="s">
        <v>361</v>
      </c>
    </row>
    <row r="296" spans="1:14">
      <c r="B296" s="108" t="s">
        <v>212</v>
      </c>
      <c r="C296" s="107">
        <f>'P&amp;L'!C3</f>
        <v>6173</v>
      </c>
      <c r="D296" s="107">
        <f>'P&amp;L'!D3</f>
        <v>7033</v>
      </c>
      <c r="E296" s="107">
        <f>'P&amp;L'!E3</f>
        <v>8965</v>
      </c>
      <c r="F296" s="107">
        <f>'P&amp;L'!F3</f>
        <v>9797</v>
      </c>
      <c r="G296" s="107">
        <f>'P&amp;L'!G3</f>
        <v>9154</v>
      </c>
      <c r="H296" s="107">
        <f>'P&amp;L'!H3</f>
        <v>8720</v>
      </c>
      <c r="I296" s="107">
        <f>'P&amp;L'!I3</f>
        <v>10298</v>
      </c>
      <c r="J296" s="107">
        <f>'P&amp;L'!J3</f>
        <v>14442</v>
      </c>
      <c r="K296" s="107">
        <f>'P&amp;L'!K3</f>
        <v>16536</v>
      </c>
    </row>
    <row r="297" spans="1:14">
      <c r="B297" s="40" t="s">
        <v>61</v>
      </c>
      <c r="D297" s="120">
        <f>D296/C296-1</f>
        <v>0.13931637777417794</v>
      </c>
      <c r="E297" s="120">
        <f t="shared" ref="E297" si="46">E296/D296-1</f>
        <v>0.27470496232048913</v>
      </c>
      <c r="F297" s="120">
        <f t="shared" ref="F297" si="47">F296/E296-1</f>
        <v>9.2805354155047315E-2</v>
      </c>
      <c r="G297" s="120">
        <f t="shared" ref="G297" si="48">G296/F296-1</f>
        <v>-6.5632336429519267E-2</v>
      </c>
      <c r="H297" s="120">
        <f t="shared" ref="H297" si="49">H296/G296-1</f>
        <v>-4.7410967882892674E-2</v>
      </c>
      <c r="I297" s="120">
        <f t="shared" ref="I297" si="50">I296/H296-1</f>
        <v>0.18096330275229366</v>
      </c>
      <c r="J297" s="120">
        <f t="shared" ref="J297" si="51">J296/I296-1</f>
        <v>0.40240823460866193</v>
      </c>
      <c r="K297" s="120">
        <f t="shared" ref="K297" si="52">K296/J296-1</f>
        <v>0.14499376817615284</v>
      </c>
      <c r="M297" s="45">
        <f t="shared" ref="M297" si="53">MEDIAN(C297:K297)</f>
        <v>0.14215507297516539</v>
      </c>
      <c r="N297" s="45">
        <f t="shared" ref="N297" si="54">AVERAGE(C297:K297)</f>
        <v>0.14026858693430136</v>
      </c>
    </row>
    <row r="299" spans="1:14">
      <c r="B299" s="108" t="str">
        <f>B272</f>
        <v>Inventories</v>
      </c>
      <c r="C299" s="107">
        <f t="shared" ref="C299:K299" si="55">C272</f>
        <v>308</v>
      </c>
      <c r="D299" s="107">
        <f t="shared" si="55"/>
        <v>336</v>
      </c>
      <c r="E299" s="107">
        <f t="shared" si="55"/>
        <v>395</v>
      </c>
      <c r="F299" s="107">
        <f t="shared" si="55"/>
        <v>633</v>
      </c>
      <c r="G299" s="107">
        <f t="shared" si="55"/>
        <v>572</v>
      </c>
      <c r="H299" s="107">
        <f t="shared" si="55"/>
        <v>875</v>
      </c>
      <c r="I299" s="107">
        <f t="shared" si="55"/>
        <v>1132</v>
      </c>
      <c r="J299" s="107">
        <f t="shared" si="55"/>
        <v>1278</v>
      </c>
      <c r="K299" s="107">
        <f t="shared" si="55"/>
        <v>1410</v>
      </c>
    </row>
    <row r="300" spans="1:14">
      <c r="B300" s="40" t="s">
        <v>466</v>
      </c>
      <c r="D300" s="120">
        <f>D299/C299-1</f>
        <v>9.0909090909090828E-2</v>
      </c>
      <c r="E300" s="120">
        <f t="shared" ref="E300" si="56">E299/D299-1</f>
        <v>0.17559523809523814</v>
      </c>
      <c r="F300" s="120">
        <f t="shared" ref="F300" si="57">F299/E299-1</f>
        <v>0.60253164556962036</v>
      </c>
      <c r="G300" s="120">
        <f t="shared" ref="G300" si="58">G299/F299-1</f>
        <v>-9.6366508688783603E-2</v>
      </c>
      <c r="H300" s="120">
        <f t="shared" ref="H300" si="59">H299/G299-1</f>
        <v>0.5297202797202798</v>
      </c>
      <c r="I300" s="120">
        <f t="shared" ref="I300" si="60">I299/H299-1</f>
        <v>0.29371428571428582</v>
      </c>
      <c r="J300" s="120">
        <f t="shared" ref="J300" si="61">J299/I299-1</f>
        <v>0.12897526501766787</v>
      </c>
      <c r="K300" s="120">
        <f t="shared" ref="K300" si="62">K299/J299-1</f>
        <v>0.10328638497652576</v>
      </c>
      <c r="M300" s="45">
        <f t="shared" ref="M300" si="63">MEDIAN(C300:K300)</f>
        <v>0.15228525155645301</v>
      </c>
      <c r="N300" s="45">
        <f t="shared" ref="N300" si="64">AVERAGE(C300:K300)</f>
        <v>0.22854571016424063</v>
      </c>
    </row>
    <row r="301" spans="1:14">
      <c r="B301" s="40"/>
      <c r="D301" s="120"/>
      <c r="E301" s="120"/>
      <c r="F301" s="120"/>
      <c r="G301" s="120"/>
      <c r="H301" s="120"/>
      <c r="I301" s="120"/>
      <c r="J301" s="120"/>
      <c r="K301" s="120"/>
    </row>
    <row r="302" spans="1:14">
      <c r="B302" s="22" t="s">
        <v>468</v>
      </c>
      <c r="C302" s="22"/>
      <c r="D302" s="206">
        <f>AVERAGE(C299:D299)</f>
        <v>322</v>
      </c>
      <c r="E302" s="206">
        <f t="shared" ref="E302:K302" si="65">AVERAGE(D299:E299)</f>
        <v>365.5</v>
      </c>
      <c r="F302" s="206">
        <f t="shared" si="65"/>
        <v>514</v>
      </c>
      <c r="G302" s="206">
        <f t="shared" si="65"/>
        <v>602.5</v>
      </c>
      <c r="H302" s="206">
        <f t="shared" si="65"/>
        <v>723.5</v>
      </c>
      <c r="I302" s="206">
        <f t="shared" si="65"/>
        <v>1003.5</v>
      </c>
      <c r="J302" s="206">
        <f t="shared" si="65"/>
        <v>1205</v>
      </c>
      <c r="K302" s="206">
        <f t="shared" si="65"/>
        <v>1344</v>
      </c>
    </row>
    <row r="303" spans="1:14">
      <c r="B303" s="40" t="s">
        <v>478</v>
      </c>
      <c r="C303" s="40"/>
      <c r="D303" s="213">
        <f>D302/D296</f>
        <v>4.5784160386748186E-2</v>
      </c>
      <c r="E303" s="213">
        <f t="shared" ref="E303:K303" si="66">E302/E296</f>
        <v>4.0769659788064697E-2</v>
      </c>
      <c r="F303" s="213">
        <f t="shared" si="66"/>
        <v>5.2465040318464835E-2</v>
      </c>
      <c r="G303" s="213">
        <f t="shared" si="66"/>
        <v>6.5818221542495087E-2</v>
      </c>
      <c r="H303" s="213">
        <f t="shared" si="66"/>
        <v>8.2970183486238538E-2</v>
      </c>
      <c r="I303" s="213">
        <f t="shared" si="66"/>
        <v>9.7446106040007766E-2</v>
      </c>
      <c r="J303" s="213">
        <f t="shared" si="66"/>
        <v>8.3437197064118548E-2</v>
      </c>
      <c r="K303" s="213">
        <f t="shared" si="66"/>
        <v>8.1277213352685049E-2</v>
      </c>
      <c r="M303" s="45">
        <f t="shared" ref="M303" si="67">MEDIAN(C303:K303)</f>
        <v>7.3547717447590061E-2</v>
      </c>
      <c r="N303" s="45">
        <f t="shared" ref="N303" si="68">AVERAGE(C303:K303)</f>
        <v>6.8745972747352835E-2</v>
      </c>
    </row>
    <row r="305" spans="2:15">
      <c r="B305" s="108" t="s">
        <v>48</v>
      </c>
      <c r="C305" s="107">
        <f>'P&amp;L'!C14</f>
        <v>3448</v>
      </c>
      <c r="D305" s="107">
        <f>'P&amp;L'!D14</f>
        <v>3706</v>
      </c>
      <c r="E305" s="107">
        <f>'P&amp;L'!E14</f>
        <v>4635</v>
      </c>
      <c r="F305" s="107">
        <f>'P&amp;L'!F14</f>
        <v>5057</v>
      </c>
      <c r="G305" s="107">
        <f>'P&amp;L'!G14</f>
        <v>4996</v>
      </c>
      <c r="H305" s="107">
        <f>'P&amp;L'!H14</f>
        <v>5112</v>
      </c>
      <c r="I305" s="107">
        <f>'P&amp;L'!I14</f>
        <v>5956</v>
      </c>
      <c r="J305" s="107">
        <f>'P&amp;L'!J14</f>
        <v>8212</v>
      </c>
      <c r="K305" s="107">
        <f>'P&amp;L'!K14</f>
        <v>8981</v>
      </c>
    </row>
    <row r="307" spans="2:15">
      <c r="B307" s="20" t="s">
        <v>470</v>
      </c>
      <c r="C307" s="20"/>
      <c r="D307" s="216">
        <f>D305/D302</f>
        <v>11.509316770186336</v>
      </c>
      <c r="E307" s="216">
        <f t="shared" ref="E307:K307" si="69">E305/E302</f>
        <v>12.6812585499316</v>
      </c>
      <c r="F307" s="216">
        <f t="shared" si="69"/>
        <v>9.8385214007782107</v>
      </c>
      <c r="G307" s="216">
        <f t="shared" si="69"/>
        <v>8.2921161825726148</v>
      </c>
      <c r="H307" s="216">
        <f t="shared" si="69"/>
        <v>7.0656530753282656</v>
      </c>
      <c r="I307" s="216">
        <f t="shared" si="69"/>
        <v>5.9352267065271551</v>
      </c>
      <c r="J307" s="216">
        <f t="shared" si="69"/>
        <v>6.8149377593360994</v>
      </c>
      <c r="K307" s="216">
        <f t="shared" si="69"/>
        <v>6.682291666666667</v>
      </c>
      <c r="M307" s="216">
        <f t="shared" ref="M307:M308" si="70">MEDIAN(C307:K307)</f>
        <v>7.6788846289504402</v>
      </c>
      <c r="N307" s="216">
        <f t="shared" ref="N307:N308" si="71">AVERAGE(C307:K307)</f>
        <v>8.6024152639158675</v>
      </c>
    </row>
    <row r="308" spans="2:15">
      <c r="B308" s="22" t="s">
        <v>472</v>
      </c>
      <c r="D308" s="207">
        <f>D296/D302</f>
        <v>21.841614906832298</v>
      </c>
      <c r="E308" s="207">
        <f t="shared" ref="E308:K308" si="72">E296/E302</f>
        <v>24.528043775649795</v>
      </c>
      <c r="F308" s="207">
        <f t="shared" si="72"/>
        <v>19.060311284046694</v>
      </c>
      <c r="G308" s="207">
        <f t="shared" si="72"/>
        <v>15.193360995850622</v>
      </c>
      <c r="H308" s="207">
        <f t="shared" si="72"/>
        <v>12.052522460262612</v>
      </c>
      <c r="I308" s="207">
        <f t="shared" si="72"/>
        <v>10.262082710513203</v>
      </c>
      <c r="J308" s="207">
        <f t="shared" si="72"/>
        <v>11.9850622406639</v>
      </c>
      <c r="K308" s="207">
        <f t="shared" si="72"/>
        <v>12.303571428571429</v>
      </c>
      <c r="M308" s="207">
        <f t="shared" si="70"/>
        <v>13.748466212211024</v>
      </c>
      <c r="N308" s="207">
        <f t="shared" si="71"/>
        <v>15.90332122529882</v>
      </c>
    </row>
    <row r="309" spans="2:15">
      <c r="B309" s="20" t="s">
        <v>471</v>
      </c>
      <c r="C309" s="20"/>
      <c r="D309" s="214">
        <f t="shared" ref="D309:K309" si="73">$B$311/D307</f>
        <v>31.713437668645437</v>
      </c>
      <c r="E309" s="214">
        <f t="shared" si="73"/>
        <v>28.782632146709815</v>
      </c>
      <c r="F309" s="214">
        <f t="shared" si="73"/>
        <v>37.099070595214549</v>
      </c>
      <c r="G309" s="214">
        <f t="shared" si="73"/>
        <v>44.017714171337069</v>
      </c>
      <c r="H309" s="214">
        <f t="shared" si="73"/>
        <v>51.658352895148667</v>
      </c>
      <c r="I309" s="214">
        <f t="shared" si="73"/>
        <v>61.497229684351915</v>
      </c>
      <c r="J309" s="214">
        <f t="shared" si="73"/>
        <v>53.558816366293229</v>
      </c>
      <c r="K309" s="214">
        <f t="shared" si="73"/>
        <v>54.621979734996103</v>
      </c>
      <c r="M309" s="214">
        <f t="shared" ref="M309:M310" si="74">MEDIAN(C309:K309)</f>
        <v>47.838033533242864</v>
      </c>
      <c r="N309" s="214">
        <f t="shared" ref="N309:N310" si="75">AVERAGE(C309:K309)</f>
        <v>45.368654157837099</v>
      </c>
    </row>
    <row r="310" spans="2:15">
      <c r="B310" s="22" t="s">
        <v>473</v>
      </c>
      <c r="D310" s="209">
        <f>$B$311/D308</f>
        <v>16.711218541163088</v>
      </c>
      <c r="E310" s="209">
        <f t="shared" ref="E310:K310" si="76">$B$311/E308</f>
        <v>14.880925822643613</v>
      </c>
      <c r="F310" s="209">
        <f t="shared" si="76"/>
        <v>19.149739716239665</v>
      </c>
      <c r="G310" s="209">
        <f t="shared" si="76"/>
        <v>24.023650863010708</v>
      </c>
      <c r="H310" s="209">
        <f t="shared" si="76"/>
        <v>30.284116972477065</v>
      </c>
      <c r="I310" s="209">
        <f t="shared" si="76"/>
        <v>35.567828704602839</v>
      </c>
      <c r="J310" s="209">
        <f t="shared" si="76"/>
        <v>30.454576928403267</v>
      </c>
      <c r="K310" s="209">
        <f t="shared" si="76"/>
        <v>29.666182873730044</v>
      </c>
      <c r="M310" s="209">
        <f t="shared" si="74"/>
        <v>26.844916868370376</v>
      </c>
      <c r="N310" s="209">
        <f t="shared" si="75"/>
        <v>25.092280052783785</v>
      </c>
    </row>
    <row r="311" spans="2:15">
      <c r="B311" s="210">
        <v>365</v>
      </c>
    </row>
    <row r="313" spans="2:15">
      <c r="B313" s="14" t="s">
        <v>469</v>
      </c>
      <c r="C313" s="70">
        <f>C295</f>
        <v>2016</v>
      </c>
      <c r="D313" s="70">
        <f t="shared" ref="D313:K313" si="77">D295</f>
        <v>2017</v>
      </c>
      <c r="E313" s="70">
        <f t="shared" si="77"/>
        <v>2018</v>
      </c>
      <c r="F313" s="70">
        <f t="shared" si="77"/>
        <v>2019</v>
      </c>
      <c r="G313" s="70">
        <f t="shared" si="77"/>
        <v>2020</v>
      </c>
      <c r="H313" s="70">
        <f t="shared" si="77"/>
        <v>2021</v>
      </c>
      <c r="I313" s="70">
        <f t="shared" si="77"/>
        <v>2022</v>
      </c>
      <c r="J313" s="70">
        <f t="shared" si="77"/>
        <v>2023</v>
      </c>
      <c r="K313" s="70">
        <f t="shared" si="77"/>
        <v>2024</v>
      </c>
      <c r="L313" s="70">
        <f>K313+1</f>
        <v>2025</v>
      </c>
    </row>
    <row r="314" spans="2:15">
      <c r="B314" s="225" t="s">
        <v>474</v>
      </c>
      <c r="C314" s="225">
        <v>33</v>
      </c>
      <c r="D314" s="226">
        <f>D309</f>
        <v>31.713437668645437</v>
      </c>
      <c r="E314" s="226">
        <f t="shared" ref="E314:K314" si="78">E309</f>
        <v>28.782632146709815</v>
      </c>
      <c r="F314" s="226">
        <f t="shared" si="78"/>
        <v>37.099070595214549</v>
      </c>
      <c r="G314" s="226">
        <f t="shared" si="78"/>
        <v>44.017714171337069</v>
      </c>
      <c r="H314" s="226">
        <f t="shared" si="78"/>
        <v>51.658352895148667</v>
      </c>
      <c r="I314" s="226">
        <f t="shared" si="78"/>
        <v>61.497229684351915</v>
      </c>
      <c r="J314" s="226">
        <f t="shared" si="78"/>
        <v>53.558816366293229</v>
      </c>
      <c r="K314" s="226">
        <f t="shared" si="78"/>
        <v>54.621979734996103</v>
      </c>
      <c r="L314" s="225">
        <v>55</v>
      </c>
      <c r="M314" s="208"/>
    </row>
    <row r="315" spans="2:15">
      <c r="B315" s="225" t="s">
        <v>475</v>
      </c>
      <c r="C315" s="225">
        <v>40</v>
      </c>
      <c r="D315" s="225">
        <v>47</v>
      </c>
      <c r="E315" s="225">
        <v>34</v>
      </c>
      <c r="F315" s="225">
        <v>34</v>
      </c>
      <c r="G315" s="225">
        <v>35</v>
      </c>
      <c r="H315" s="225">
        <v>39</v>
      </c>
      <c r="I315" s="225">
        <v>37</v>
      </c>
      <c r="J315" s="225">
        <v>34</v>
      </c>
      <c r="K315" s="225">
        <v>34</v>
      </c>
      <c r="L315" s="225">
        <v>33</v>
      </c>
    </row>
    <row r="316" spans="2:15">
      <c r="B316" s="225" t="s">
        <v>476</v>
      </c>
      <c r="C316" s="226">
        <v>14</v>
      </c>
      <c r="D316" s="226">
        <v>14</v>
      </c>
      <c r="E316" s="226">
        <v>16</v>
      </c>
      <c r="F316" s="226">
        <v>19</v>
      </c>
      <c r="G316" s="226">
        <v>24</v>
      </c>
      <c r="H316" s="226">
        <v>30</v>
      </c>
      <c r="I316" s="226">
        <v>26</v>
      </c>
      <c r="J316" s="226">
        <v>27</v>
      </c>
      <c r="K316" s="226">
        <v>25</v>
      </c>
      <c r="L316" s="226">
        <v>27</v>
      </c>
      <c r="M316" s="211"/>
      <c r="N316" s="211"/>
      <c r="O316" s="211"/>
    </row>
    <row r="317" spans="2:15">
      <c r="B317" s="225" t="s">
        <v>477</v>
      </c>
      <c r="C317" s="225">
        <v>17</v>
      </c>
      <c r="D317" s="225">
        <v>18</v>
      </c>
      <c r="E317" s="225">
        <v>16</v>
      </c>
      <c r="F317" s="225">
        <v>16</v>
      </c>
      <c r="G317" s="225">
        <v>18</v>
      </c>
      <c r="H317" s="225">
        <v>28</v>
      </c>
      <c r="I317" s="225">
        <v>18</v>
      </c>
      <c r="J317" s="225">
        <v>22</v>
      </c>
      <c r="K317" s="225">
        <v>19</v>
      </c>
      <c r="L317" s="225">
        <v>22</v>
      </c>
    </row>
    <row r="319" spans="2:15">
      <c r="B319" s="34" t="s">
        <v>360</v>
      </c>
      <c r="C319" s="212">
        <f>MEDIAN(C315:C317)</f>
        <v>17</v>
      </c>
      <c r="D319" s="212">
        <f t="shared" ref="D319:L319" si="79">MEDIAN(D315:D317)</f>
        <v>18</v>
      </c>
      <c r="E319" s="212">
        <f t="shared" si="79"/>
        <v>16</v>
      </c>
      <c r="F319" s="212">
        <f t="shared" si="79"/>
        <v>19</v>
      </c>
      <c r="G319" s="212">
        <f t="shared" si="79"/>
        <v>24</v>
      </c>
      <c r="H319" s="212">
        <f t="shared" si="79"/>
        <v>30</v>
      </c>
      <c r="I319" s="212">
        <f t="shared" si="79"/>
        <v>26</v>
      </c>
      <c r="J319" s="212">
        <f t="shared" si="79"/>
        <v>27</v>
      </c>
      <c r="K319" s="212">
        <f t="shared" si="79"/>
        <v>25</v>
      </c>
      <c r="L319" s="212">
        <f t="shared" si="79"/>
        <v>27</v>
      </c>
      <c r="M319" s="215">
        <f t="shared" ref="M319:M320" si="80">MEDIAN(C319:K319)</f>
        <v>24</v>
      </c>
      <c r="N319" s="215">
        <f t="shared" ref="N319:N320" si="81">AVERAGE(C319:K319)</f>
        <v>22.444444444444443</v>
      </c>
    </row>
    <row r="320" spans="2:15">
      <c r="B320" s="34" t="s">
        <v>361</v>
      </c>
      <c r="C320" s="212">
        <f>AVERAGE(C315:C317)</f>
        <v>23.666666666666668</v>
      </c>
      <c r="D320" s="212">
        <f t="shared" ref="D320:L320" si="82">AVERAGE(D315:D317)</f>
        <v>26.333333333333332</v>
      </c>
      <c r="E320" s="212">
        <f t="shared" si="82"/>
        <v>22</v>
      </c>
      <c r="F320" s="212">
        <f t="shared" si="82"/>
        <v>23</v>
      </c>
      <c r="G320" s="212">
        <f t="shared" si="82"/>
        <v>25.666666666666668</v>
      </c>
      <c r="H320" s="212">
        <f t="shared" si="82"/>
        <v>32.333333333333336</v>
      </c>
      <c r="I320" s="212">
        <f t="shared" si="82"/>
        <v>27</v>
      </c>
      <c r="J320" s="212">
        <f t="shared" si="82"/>
        <v>27.666666666666668</v>
      </c>
      <c r="K320" s="212">
        <f t="shared" si="82"/>
        <v>26</v>
      </c>
      <c r="L320" s="212">
        <f t="shared" si="82"/>
        <v>27.333333333333332</v>
      </c>
      <c r="M320" s="215">
        <f t="shared" si="80"/>
        <v>26</v>
      </c>
      <c r="N320" s="215">
        <f t="shared" si="81"/>
        <v>25.962962962962962</v>
      </c>
    </row>
    <row r="322" spans="2:7">
      <c r="B322" s="14" t="s">
        <v>479</v>
      </c>
      <c r="C322" t="s">
        <v>235</v>
      </c>
      <c r="D322" s="129" t="s">
        <v>416</v>
      </c>
    </row>
    <row r="324" spans="2:7">
      <c r="B324" s="14" t="s">
        <v>481</v>
      </c>
      <c r="C324" s="70">
        <v>2026</v>
      </c>
      <c r="D324" s="70">
        <v>2027</v>
      </c>
    </row>
    <row r="325" spans="2:7">
      <c r="B325" t="s">
        <v>480</v>
      </c>
      <c r="C325">
        <v>22</v>
      </c>
      <c r="D325">
        <v>22</v>
      </c>
      <c r="F325" s="166" t="s">
        <v>398</v>
      </c>
      <c r="G325" s="166"/>
    </row>
    <row r="326" spans="2:7">
      <c r="B326" t="s">
        <v>221</v>
      </c>
      <c r="C326">
        <v>57.5</v>
      </c>
      <c r="D326">
        <v>58</v>
      </c>
      <c r="F326" t="s">
        <v>482</v>
      </c>
    </row>
    <row r="327" spans="2:7">
      <c r="B327" t="s">
        <v>228</v>
      </c>
      <c r="C327">
        <v>30</v>
      </c>
      <c r="D327">
        <v>30</v>
      </c>
    </row>
    <row r="329" spans="2:7">
      <c r="B329" s="14" t="s">
        <v>490</v>
      </c>
    </row>
    <row r="330" spans="2:7">
      <c r="B330" t="s">
        <v>489</v>
      </c>
    </row>
    <row r="331" spans="2:7">
      <c r="B331" t="s">
        <v>488</v>
      </c>
    </row>
    <row r="332" spans="2:7">
      <c r="B332" t="s">
        <v>491</v>
      </c>
    </row>
    <row r="334" spans="2:7">
      <c r="B334" t="s">
        <v>492</v>
      </c>
    </row>
    <row r="336" spans="2:7">
      <c r="B336" s="169" t="s">
        <v>487</v>
      </c>
    </row>
    <row r="349" spans="1:14" ht="18">
      <c r="A349" t="s">
        <v>29</v>
      </c>
      <c r="B349" s="219" t="s">
        <v>8</v>
      </c>
    </row>
    <row r="351" spans="1:14">
      <c r="B351" s="14" t="s">
        <v>209</v>
      </c>
      <c r="C351" s="70">
        <v>2016</v>
      </c>
      <c r="D351" s="70">
        <v>2017</v>
      </c>
      <c r="E351" s="70">
        <v>2018</v>
      </c>
      <c r="F351" s="70">
        <v>2019</v>
      </c>
      <c r="G351" s="70">
        <v>2020</v>
      </c>
      <c r="H351" s="70">
        <v>2021</v>
      </c>
      <c r="I351" s="70">
        <v>2022</v>
      </c>
      <c r="J351" s="70">
        <v>2023</v>
      </c>
      <c r="K351" s="70">
        <v>2024</v>
      </c>
      <c r="M351" s="14" t="s">
        <v>430</v>
      </c>
      <c r="N351" s="14" t="s">
        <v>361</v>
      </c>
    </row>
    <row r="352" spans="1:14">
      <c r="B352" s="108" t="s">
        <v>212</v>
      </c>
      <c r="C352" s="107">
        <f>'P&amp;L'!C3</f>
        <v>6173</v>
      </c>
      <c r="D352" s="107">
        <f>'P&amp;L'!D3</f>
        <v>7033</v>
      </c>
      <c r="E352" s="107">
        <f>'P&amp;L'!E3</f>
        <v>8965</v>
      </c>
      <c r="F352" s="107">
        <f>'P&amp;L'!F3</f>
        <v>9797</v>
      </c>
      <c r="G352" s="107">
        <f>'P&amp;L'!G3</f>
        <v>9154</v>
      </c>
      <c r="H352" s="107">
        <f>'P&amp;L'!H3</f>
        <v>8720</v>
      </c>
      <c r="I352" s="107">
        <f>'P&amp;L'!I3</f>
        <v>10298</v>
      </c>
      <c r="J352" s="107">
        <f>'P&amp;L'!J3</f>
        <v>14442</v>
      </c>
      <c r="K352" s="107">
        <f>'P&amp;L'!K3</f>
        <v>16536</v>
      </c>
      <c r="M352" s="188"/>
      <c r="N352" s="188"/>
    </row>
    <row r="353" spans="2:14">
      <c r="B353" s="40" t="s">
        <v>61</v>
      </c>
      <c r="D353" s="120">
        <f>D352/C352-1</f>
        <v>0.13931637777417794</v>
      </c>
      <c r="E353" s="120">
        <f t="shared" ref="E353" si="83">E352/D352-1</f>
        <v>0.27470496232048913</v>
      </c>
      <c r="F353" s="120">
        <f t="shared" ref="F353" si="84">F352/E352-1</f>
        <v>9.2805354155047315E-2</v>
      </c>
      <c r="G353" s="120">
        <f t="shared" ref="G353" si="85">G352/F352-1</f>
        <v>-6.5632336429519267E-2</v>
      </c>
      <c r="H353" s="120">
        <f t="shared" ref="H353" si="86">H352/G352-1</f>
        <v>-4.7410967882892674E-2</v>
      </c>
      <c r="I353" s="120">
        <f t="shared" ref="I353" si="87">I352/H352-1</f>
        <v>0.18096330275229366</v>
      </c>
      <c r="J353" s="120">
        <f t="shared" ref="J353" si="88">J352/I352-1</f>
        <v>0.40240823460866193</v>
      </c>
      <c r="K353" s="120">
        <f t="shared" ref="K353" si="89">K352/J352-1</f>
        <v>0.14499376817615284</v>
      </c>
      <c r="M353" s="160">
        <f>MEDIAN(C353:K353)</f>
        <v>0.14215507297516539</v>
      </c>
      <c r="N353" s="160">
        <f>AVERAGE(C353:K353)</f>
        <v>0.14026858693430136</v>
      </c>
    </row>
    <row r="355" spans="2:14">
      <c r="B355" s="108" t="s">
        <v>445</v>
      </c>
      <c r="C355" s="107">
        <f>BS!C22</f>
        <v>33</v>
      </c>
      <c r="D355" s="107">
        <f>BS!D22</f>
        <v>50</v>
      </c>
      <c r="E355" s="107">
        <f>BS!E22</f>
        <v>68</v>
      </c>
      <c r="F355" s="107">
        <f>BS!F22</f>
        <v>84</v>
      </c>
      <c r="G355" s="107">
        <f>BS!G22</f>
        <v>87</v>
      </c>
      <c r="H355" s="107">
        <f>BS!H22</f>
        <v>158</v>
      </c>
      <c r="I355" s="107">
        <f>BS!I22</f>
        <v>302</v>
      </c>
      <c r="J355" s="107">
        <f>BS!J22</f>
        <v>369</v>
      </c>
      <c r="K355" s="107">
        <f>BS!K22</f>
        <v>374</v>
      </c>
    </row>
    <row r="356" spans="2:14">
      <c r="B356" s="40" t="s">
        <v>483</v>
      </c>
      <c r="D356" s="120">
        <f>D355/C355-1</f>
        <v>0.51515151515151514</v>
      </c>
      <c r="E356" s="120">
        <f t="shared" ref="E356" si="90">E355/D355-1</f>
        <v>0.3600000000000001</v>
      </c>
      <c r="F356" s="120">
        <f t="shared" ref="F356" si="91">F355/E355-1</f>
        <v>0.23529411764705888</v>
      </c>
      <c r="G356" s="120">
        <f t="shared" ref="G356" si="92">G355/F355-1</f>
        <v>3.5714285714285809E-2</v>
      </c>
      <c r="H356" s="120">
        <f t="shared" ref="H356" si="93">H355/G355-1</f>
        <v>0.81609195402298851</v>
      </c>
      <c r="I356" s="120">
        <f t="shared" ref="I356" si="94">I355/H355-1</f>
        <v>0.91139240506329111</v>
      </c>
      <c r="J356" s="120">
        <f t="shared" ref="J356" si="95">J355/I355-1</f>
        <v>0.2218543046357615</v>
      </c>
      <c r="K356" s="120">
        <f t="shared" ref="K356" si="96">K355/J355-1</f>
        <v>1.3550135501354976E-2</v>
      </c>
      <c r="M356" s="160">
        <f>MEDIAN(C356:K356)</f>
        <v>0.29764705882352949</v>
      </c>
      <c r="N356" s="160">
        <f>AVERAGE(C356:K356)</f>
        <v>0.38863108971703203</v>
      </c>
    </row>
    <row r="358" spans="2:14">
      <c r="B358" s="22" t="s">
        <v>484</v>
      </c>
      <c r="C358" s="22"/>
      <c r="D358" s="118">
        <f>AVERAGE(C355:D355)</f>
        <v>41.5</v>
      </c>
      <c r="E358" s="118">
        <f t="shared" ref="E358:K358" si="97">AVERAGE(D355:E355)</f>
        <v>59</v>
      </c>
      <c r="F358" s="118">
        <f t="shared" si="97"/>
        <v>76</v>
      </c>
      <c r="G358" s="118">
        <f t="shared" si="97"/>
        <v>85.5</v>
      </c>
      <c r="H358" s="118">
        <f t="shared" si="97"/>
        <v>122.5</v>
      </c>
      <c r="I358" s="118">
        <f t="shared" si="97"/>
        <v>230</v>
      </c>
      <c r="J358" s="118">
        <f t="shared" si="97"/>
        <v>335.5</v>
      </c>
      <c r="K358" s="118">
        <f t="shared" si="97"/>
        <v>371.5</v>
      </c>
    </row>
    <row r="360" spans="2:14">
      <c r="B360" t="s">
        <v>485</v>
      </c>
      <c r="D360" s="120">
        <f>D358/D352</f>
        <v>5.9007535902175457E-3</v>
      </c>
      <c r="E360" s="120">
        <f t="shared" ref="E360:K360" si="98">E358/E352</f>
        <v>6.5811489124372562E-3</v>
      </c>
      <c r="F360" s="120">
        <f t="shared" si="98"/>
        <v>7.7574767786056957E-3</v>
      </c>
      <c r="G360" s="120">
        <f t="shared" si="98"/>
        <v>9.3401791566528301E-3</v>
      </c>
      <c r="H360" s="120">
        <f t="shared" si="98"/>
        <v>1.404816513761468E-2</v>
      </c>
      <c r="I360" s="120">
        <f t="shared" si="98"/>
        <v>2.2334433870654497E-2</v>
      </c>
      <c r="J360" s="120">
        <f t="shared" si="98"/>
        <v>2.3230854452291925E-2</v>
      </c>
      <c r="K360" s="120">
        <f t="shared" si="98"/>
        <v>2.2466134494436383E-2</v>
      </c>
      <c r="M360" s="41">
        <f>MEDIAN(C360:K360)</f>
        <v>1.1694172147133756E-2</v>
      </c>
      <c r="N360" s="41">
        <f>AVERAGE(C360:K360)</f>
        <v>1.395739329911385E-2</v>
      </c>
    </row>
    <row r="362" spans="2:14">
      <c r="B362" s="22" t="s">
        <v>486</v>
      </c>
      <c r="C362" s="22"/>
      <c r="D362" s="224">
        <f>D352/D358</f>
        <v>169.46987951807228</v>
      </c>
      <c r="E362" s="224">
        <f t="shared" ref="E362:K362" si="99">E352/E358</f>
        <v>151.94915254237287</v>
      </c>
      <c r="F362" s="224">
        <f t="shared" si="99"/>
        <v>128.90789473684211</v>
      </c>
      <c r="G362" s="224">
        <f t="shared" si="99"/>
        <v>107.06432748538012</v>
      </c>
      <c r="H362" s="224">
        <f t="shared" si="99"/>
        <v>71.183673469387756</v>
      </c>
      <c r="I362" s="224">
        <f t="shared" si="99"/>
        <v>44.77391304347826</v>
      </c>
      <c r="J362" s="224">
        <f t="shared" si="99"/>
        <v>43.046199701937404</v>
      </c>
      <c r="K362" s="224">
        <f t="shared" si="99"/>
        <v>44.511440107671604</v>
      </c>
      <c r="M362" s="222">
        <f>MEDIAN(C362:K362)</f>
        <v>89.12400047738393</v>
      </c>
      <c r="N362" s="222">
        <f>AVERAGE(C362:K362)</f>
        <v>95.113310075642801</v>
      </c>
    </row>
    <row r="364" spans="2:14">
      <c r="B364" s="22" t="s">
        <v>49</v>
      </c>
      <c r="C364" s="22"/>
      <c r="D364" s="223">
        <f>$B$365/D362</f>
        <v>2.1537750604294046</v>
      </c>
      <c r="E364" s="223">
        <f>$B$365/E362</f>
        <v>2.4021193530395988</v>
      </c>
      <c r="F364" s="223">
        <f t="shared" ref="F364:K364" si="100">$B$365/F362</f>
        <v>2.8314790241910788</v>
      </c>
      <c r="G364" s="223">
        <f t="shared" si="100"/>
        <v>3.4091653921782825</v>
      </c>
      <c r="H364" s="223">
        <f t="shared" si="100"/>
        <v>5.1275802752293576</v>
      </c>
      <c r="I364" s="223">
        <f t="shared" si="100"/>
        <v>8.1520683627888921</v>
      </c>
      <c r="J364" s="223">
        <f t="shared" si="100"/>
        <v>8.4792618750865536</v>
      </c>
      <c r="K364" s="223">
        <f t="shared" si="100"/>
        <v>8.2001390904692784</v>
      </c>
      <c r="M364" s="220">
        <f>MEDIAN(C364:K364)</f>
        <v>4.26837283370382</v>
      </c>
      <c r="N364" s="220">
        <f>AVERAGE(C364:K364)</f>
        <v>5.0944485541765552</v>
      </c>
    </row>
    <row r="365" spans="2:14">
      <c r="B365" s="221">
        <v>365</v>
      </c>
    </row>
    <row r="367" spans="2:14">
      <c r="B367" s="14" t="s">
        <v>469</v>
      </c>
      <c r="C367" s="70">
        <f>C351</f>
        <v>2016</v>
      </c>
      <c r="D367" s="70">
        <f t="shared" ref="D367:K367" si="101">D351</f>
        <v>2017</v>
      </c>
      <c r="E367" s="70">
        <f t="shared" si="101"/>
        <v>2018</v>
      </c>
      <c r="F367" s="70">
        <f t="shared" si="101"/>
        <v>2019</v>
      </c>
      <c r="G367" s="70">
        <f t="shared" si="101"/>
        <v>2020</v>
      </c>
      <c r="H367" s="70">
        <f t="shared" si="101"/>
        <v>2021</v>
      </c>
      <c r="I367" s="70">
        <f t="shared" si="101"/>
        <v>2022</v>
      </c>
      <c r="J367" s="70">
        <f t="shared" si="101"/>
        <v>2023</v>
      </c>
      <c r="K367" s="70">
        <f t="shared" si="101"/>
        <v>2024</v>
      </c>
      <c r="L367" s="70">
        <v>2025</v>
      </c>
    </row>
    <row r="368" spans="2:14">
      <c r="B368" s="225" t="s">
        <v>474</v>
      </c>
      <c r="C368" s="225">
        <v>2</v>
      </c>
      <c r="D368" s="226">
        <f>D364</f>
        <v>2.1537750604294046</v>
      </c>
      <c r="E368" s="226">
        <f t="shared" ref="E368:K368" si="102">E364</f>
        <v>2.4021193530395988</v>
      </c>
      <c r="F368" s="226">
        <f t="shared" si="102"/>
        <v>2.8314790241910788</v>
      </c>
      <c r="G368" s="226">
        <f t="shared" si="102"/>
        <v>3.4091653921782825</v>
      </c>
      <c r="H368" s="226">
        <f t="shared" si="102"/>
        <v>5.1275802752293576</v>
      </c>
      <c r="I368" s="226">
        <f t="shared" si="102"/>
        <v>8.1520683627888921</v>
      </c>
      <c r="J368" s="226">
        <f t="shared" si="102"/>
        <v>8.4792618750865536</v>
      </c>
      <c r="K368" s="226">
        <f t="shared" si="102"/>
        <v>8.2001390904692784</v>
      </c>
      <c r="L368" s="225">
        <v>11</v>
      </c>
    </row>
    <row r="369" spans="2:14">
      <c r="B369" s="225" t="s">
        <v>475</v>
      </c>
      <c r="C369" s="225">
        <v>16</v>
      </c>
      <c r="D369" s="225">
        <v>21</v>
      </c>
      <c r="E369" s="225">
        <v>24</v>
      </c>
      <c r="F369" s="225">
        <v>28</v>
      </c>
      <c r="G369" s="225">
        <v>28</v>
      </c>
      <c r="H369" s="225">
        <v>19</v>
      </c>
      <c r="I369" s="225">
        <v>18</v>
      </c>
      <c r="J369" s="225">
        <v>14</v>
      </c>
      <c r="K369" s="225">
        <v>17</v>
      </c>
      <c r="L369" s="225">
        <v>14</v>
      </c>
    </row>
    <row r="370" spans="2:14">
      <c r="B370" s="225" t="s">
        <v>476</v>
      </c>
      <c r="C370" s="226">
        <v>16</v>
      </c>
      <c r="D370" s="226">
        <v>20</v>
      </c>
      <c r="E370" s="226">
        <v>16</v>
      </c>
      <c r="F370" s="226">
        <v>29</v>
      </c>
      <c r="G370" s="226">
        <v>19</v>
      </c>
      <c r="H370" s="226">
        <v>27</v>
      </c>
      <c r="I370" s="226">
        <v>27</v>
      </c>
      <c r="J370" s="226">
        <v>29</v>
      </c>
      <c r="K370" s="226">
        <v>25</v>
      </c>
      <c r="L370" s="226">
        <v>30</v>
      </c>
    </row>
    <row r="371" spans="2:14">
      <c r="B371" s="225" t="s">
        <v>477</v>
      </c>
      <c r="C371" s="225">
        <v>12</v>
      </c>
      <c r="D371" s="225">
        <v>16</v>
      </c>
      <c r="E371" s="225">
        <v>22</v>
      </c>
      <c r="F371" s="225">
        <v>31</v>
      </c>
      <c r="G371" s="225">
        <v>21</v>
      </c>
      <c r="H371" s="225">
        <v>36</v>
      </c>
      <c r="I371" s="225">
        <v>17</v>
      </c>
      <c r="J371" s="225">
        <v>18</v>
      </c>
      <c r="K371" s="225">
        <v>17</v>
      </c>
      <c r="L371" s="225">
        <v>15</v>
      </c>
    </row>
    <row r="373" spans="2:14">
      <c r="B373" s="34" t="s">
        <v>360</v>
      </c>
      <c r="C373" s="212">
        <f>MEDIAN(C369:C371)</f>
        <v>16</v>
      </c>
      <c r="D373" s="212">
        <f t="shared" ref="D373:L373" si="103">MEDIAN(D369:D371)</f>
        <v>20</v>
      </c>
      <c r="E373" s="212">
        <f t="shared" si="103"/>
        <v>22</v>
      </c>
      <c r="F373" s="212">
        <f t="shared" si="103"/>
        <v>29</v>
      </c>
      <c r="G373" s="212">
        <f t="shared" si="103"/>
        <v>21</v>
      </c>
      <c r="H373" s="212">
        <f t="shared" si="103"/>
        <v>27</v>
      </c>
      <c r="I373" s="212">
        <f t="shared" si="103"/>
        <v>18</v>
      </c>
      <c r="J373" s="212">
        <f t="shared" si="103"/>
        <v>18</v>
      </c>
      <c r="K373" s="212">
        <f t="shared" si="103"/>
        <v>17</v>
      </c>
      <c r="L373" s="212">
        <f t="shared" si="103"/>
        <v>15</v>
      </c>
      <c r="M373" s="220">
        <f t="shared" ref="M373:M374" si="104">MEDIAN(C373:K373)</f>
        <v>20</v>
      </c>
      <c r="N373" s="220">
        <f t="shared" ref="N373:N374" si="105">AVERAGE(C373:K373)</f>
        <v>20.888888888888889</v>
      </c>
    </row>
    <row r="374" spans="2:14">
      <c r="B374" s="34" t="s">
        <v>361</v>
      </c>
      <c r="C374" s="212">
        <f>AVERAGE(C369:C371)</f>
        <v>14.666666666666666</v>
      </c>
      <c r="D374" s="212">
        <f t="shared" ref="D374:L374" si="106">AVERAGE(D369:D371)</f>
        <v>19</v>
      </c>
      <c r="E374" s="212">
        <f t="shared" si="106"/>
        <v>20.666666666666668</v>
      </c>
      <c r="F374" s="212">
        <f t="shared" si="106"/>
        <v>29.333333333333332</v>
      </c>
      <c r="G374" s="212">
        <f t="shared" si="106"/>
        <v>22.666666666666668</v>
      </c>
      <c r="H374" s="212">
        <f t="shared" si="106"/>
        <v>27.333333333333332</v>
      </c>
      <c r="I374" s="212">
        <f t="shared" si="106"/>
        <v>20.666666666666668</v>
      </c>
      <c r="J374" s="212">
        <f t="shared" si="106"/>
        <v>20.333333333333332</v>
      </c>
      <c r="K374" s="212">
        <f t="shared" si="106"/>
        <v>19.666666666666668</v>
      </c>
      <c r="L374" s="212">
        <f t="shared" si="106"/>
        <v>19.666666666666668</v>
      </c>
      <c r="M374" s="220">
        <f t="shared" si="104"/>
        <v>20.666666666666668</v>
      </c>
      <c r="N374" s="220">
        <f t="shared" si="105"/>
        <v>21.592592592592592</v>
      </c>
    </row>
    <row r="376" spans="2:14">
      <c r="B376" s="14" t="s">
        <v>479</v>
      </c>
      <c r="C376" s="14" t="s">
        <v>235</v>
      </c>
      <c r="D376" s="129" t="s">
        <v>416</v>
      </c>
    </row>
    <row r="378" spans="2:14">
      <c r="B378" s="14" t="s">
        <v>481</v>
      </c>
      <c r="C378" s="70">
        <v>2026</v>
      </c>
      <c r="D378" s="70">
        <v>2027</v>
      </c>
    </row>
    <row r="379" spans="2:14">
      <c r="B379" t="s">
        <v>480</v>
      </c>
      <c r="C379">
        <v>15</v>
      </c>
      <c r="D379">
        <v>15</v>
      </c>
    </row>
    <row r="380" spans="2:14">
      <c r="B380" t="s">
        <v>228</v>
      </c>
      <c r="C380">
        <v>11</v>
      </c>
      <c r="D380">
        <v>11</v>
      </c>
    </row>
    <row r="382" spans="2:14">
      <c r="B382" s="14" t="s">
        <v>495</v>
      </c>
      <c r="C382" s="122" t="s">
        <v>493</v>
      </c>
      <c r="D382" s="129" t="s">
        <v>396</v>
      </c>
    </row>
    <row r="399" spans="2:9">
      <c r="B399" s="22" t="s">
        <v>445</v>
      </c>
      <c r="C399" s="22">
        <v>281.29000000000002</v>
      </c>
      <c r="D399" s="22">
        <v>82.6</v>
      </c>
      <c r="E399" s="22">
        <v>7.8</v>
      </c>
      <c r="F399" s="22">
        <v>7.11</v>
      </c>
      <c r="G399" s="22">
        <v>0.31</v>
      </c>
      <c r="H399" s="22">
        <v>0.55000000000000004</v>
      </c>
      <c r="I399" s="22">
        <v>379.66</v>
      </c>
    </row>
    <row r="400" spans="2:9">
      <c r="B400" s="40" t="s">
        <v>494</v>
      </c>
      <c r="C400" s="202">
        <f t="shared" ref="C400:I400" si="107">C399/$I$399</f>
        <v>0.74089975241005113</v>
      </c>
      <c r="D400" s="202">
        <f t="shared" si="107"/>
        <v>0.21756308275825736</v>
      </c>
      <c r="E400" s="202">
        <f t="shared" si="107"/>
        <v>2.0544697887583625E-2</v>
      </c>
      <c r="F400" s="202">
        <f t="shared" si="107"/>
        <v>1.8727282305220461E-2</v>
      </c>
      <c r="G400" s="202">
        <f t="shared" si="107"/>
        <v>8.1652004425011848E-4</v>
      </c>
      <c r="H400" s="202">
        <f t="shared" si="107"/>
        <v>1.4486645946373072E-3</v>
      </c>
      <c r="I400" s="202">
        <f t="shared" si="107"/>
        <v>1</v>
      </c>
    </row>
    <row r="402" spans="2:4">
      <c r="B402" s="14" t="s">
        <v>496</v>
      </c>
      <c r="C402" s="122" t="s">
        <v>493</v>
      </c>
      <c r="D402" s="129" t="s">
        <v>396</v>
      </c>
    </row>
    <row r="434" spans="1:14" ht="18">
      <c r="A434" t="s">
        <v>29</v>
      </c>
      <c r="B434" s="219" t="s">
        <v>498</v>
      </c>
    </row>
    <row r="435" spans="1:14" ht="18">
      <c r="B435" s="205"/>
    </row>
    <row r="436" spans="1:14">
      <c r="B436" s="14" t="s">
        <v>209</v>
      </c>
      <c r="C436" s="70">
        <v>2016</v>
      </c>
      <c r="D436" s="70">
        <v>2017</v>
      </c>
      <c r="E436" s="70">
        <v>2018</v>
      </c>
      <c r="F436" s="70">
        <v>2019</v>
      </c>
      <c r="G436" s="70">
        <v>2020</v>
      </c>
      <c r="H436" s="70">
        <v>2021</v>
      </c>
      <c r="I436" s="70">
        <v>2022</v>
      </c>
      <c r="J436" s="70">
        <v>2023</v>
      </c>
      <c r="K436" s="70">
        <v>2024</v>
      </c>
      <c r="M436" s="14" t="s">
        <v>430</v>
      </c>
      <c r="N436" s="14" t="s">
        <v>361</v>
      </c>
    </row>
    <row r="437" spans="1:14">
      <c r="B437" t="s">
        <v>43</v>
      </c>
      <c r="C437" s="117">
        <f>C352</f>
        <v>6173</v>
      </c>
      <c r="D437" s="117">
        <f t="shared" ref="D437:K437" si="108">D352</f>
        <v>7033</v>
      </c>
      <c r="E437" s="117">
        <f t="shared" si="108"/>
        <v>8965</v>
      </c>
      <c r="F437" s="117">
        <f t="shared" si="108"/>
        <v>9797</v>
      </c>
      <c r="G437" s="117">
        <f t="shared" si="108"/>
        <v>9154</v>
      </c>
      <c r="H437" s="117">
        <f t="shared" si="108"/>
        <v>8720</v>
      </c>
      <c r="I437" s="117">
        <f t="shared" si="108"/>
        <v>10298</v>
      </c>
      <c r="J437" s="117">
        <f t="shared" si="108"/>
        <v>14442</v>
      </c>
      <c r="K437" s="117">
        <f t="shared" si="108"/>
        <v>16536</v>
      </c>
      <c r="M437" s="188"/>
      <c r="N437" s="188"/>
    </row>
    <row r="438" spans="1:14">
      <c r="B438" s="201" t="s">
        <v>498</v>
      </c>
      <c r="C438" s="101">
        <f>BS!C33</f>
        <v>8.5</v>
      </c>
      <c r="D438" s="101">
        <f>BS!D33</f>
        <v>26</v>
      </c>
      <c r="E438" s="101">
        <f>BS!E33</f>
        <v>53</v>
      </c>
      <c r="F438" s="101">
        <f>BS!F33</f>
        <v>107</v>
      </c>
      <c r="G438" s="101">
        <f>BS!G33</f>
        <v>127</v>
      </c>
      <c r="H438" s="101">
        <f>BS!H33</f>
        <v>249</v>
      </c>
      <c r="I438" s="101">
        <f>BS!I33</f>
        <v>125</v>
      </c>
      <c r="J438" s="101">
        <f>BS!J33</f>
        <v>86</v>
      </c>
      <c r="K438" s="101">
        <f>BS!K33</f>
        <v>133</v>
      </c>
    </row>
    <row r="440" spans="1:14">
      <c r="B440" s="227" t="s">
        <v>499</v>
      </c>
      <c r="C440" s="202">
        <f>C438/C437</f>
        <v>1.3769641989308278E-3</v>
      </c>
      <c r="D440" s="202">
        <f t="shared" ref="D440:K440" si="109">D438/D437</f>
        <v>3.6968576709796672E-3</v>
      </c>
      <c r="E440" s="202">
        <f t="shared" si="109"/>
        <v>5.911879531511433E-3</v>
      </c>
      <c r="F440" s="202">
        <f t="shared" si="109"/>
        <v>1.0921710727773808E-2</v>
      </c>
      <c r="G440" s="202">
        <f t="shared" si="109"/>
        <v>1.3873716408127594E-2</v>
      </c>
      <c r="H440" s="202">
        <f t="shared" si="109"/>
        <v>2.8555045871559635E-2</v>
      </c>
      <c r="I440" s="202">
        <f t="shared" si="109"/>
        <v>1.2138279277529617E-2</v>
      </c>
      <c r="J440" s="202">
        <f t="shared" si="109"/>
        <v>5.9548538983520286E-3</v>
      </c>
      <c r="K440" s="202">
        <f t="shared" si="109"/>
        <v>8.0430575713594573E-3</v>
      </c>
      <c r="M440" s="160">
        <f>MEDIAN(C440:K440)</f>
        <v>8.0430575713594573E-3</v>
      </c>
      <c r="N440" s="160">
        <f>AVERAGE(C440:K440)</f>
        <v>1.0052485017347117E-2</v>
      </c>
    </row>
    <row r="442" spans="1:14">
      <c r="B442" t="s">
        <v>502</v>
      </c>
    </row>
    <row r="444" spans="1:14" ht="18">
      <c r="A444" t="s">
        <v>29</v>
      </c>
      <c r="B444" s="219" t="s">
        <v>444</v>
      </c>
    </row>
    <row r="445" spans="1:14" ht="18">
      <c r="B445" s="205"/>
    </row>
    <row r="446" spans="1:14">
      <c r="B446" s="14" t="s">
        <v>209</v>
      </c>
      <c r="C446" s="70">
        <v>2016</v>
      </c>
      <c r="D446" s="70">
        <v>2017</v>
      </c>
      <c r="E446" s="70">
        <v>2018</v>
      </c>
      <c r="F446" s="70">
        <v>2019</v>
      </c>
      <c r="G446" s="70">
        <v>2020</v>
      </c>
      <c r="H446" s="70">
        <v>2021</v>
      </c>
      <c r="I446" s="70">
        <v>2022</v>
      </c>
      <c r="J446" s="70">
        <v>2023</v>
      </c>
      <c r="K446" s="70">
        <v>2024</v>
      </c>
      <c r="M446" s="14" t="s">
        <v>430</v>
      </c>
      <c r="N446" s="14" t="s">
        <v>361</v>
      </c>
    </row>
    <row r="447" spans="1:14">
      <c r="B447" t="s">
        <v>43</v>
      </c>
      <c r="C447" s="117">
        <f>C296</f>
        <v>6173</v>
      </c>
      <c r="D447" s="117">
        <f t="shared" ref="D447:K447" si="110">D296</f>
        <v>7033</v>
      </c>
      <c r="E447" s="117">
        <f t="shared" si="110"/>
        <v>8965</v>
      </c>
      <c r="F447" s="117">
        <f t="shared" si="110"/>
        <v>9797</v>
      </c>
      <c r="G447" s="117">
        <f t="shared" si="110"/>
        <v>9154</v>
      </c>
      <c r="H447" s="117">
        <f t="shared" si="110"/>
        <v>8720</v>
      </c>
      <c r="I447" s="117">
        <f t="shared" si="110"/>
        <v>10298</v>
      </c>
      <c r="J447" s="117">
        <f t="shared" si="110"/>
        <v>14442</v>
      </c>
      <c r="K447" s="117">
        <f t="shared" si="110"/>
        <v>16536</v>
      </c>
      <c r="M447" s="188"/>
      <c r="N447" s="188"/>
    </row>
    <row r="448" spans="1:14">
      <c r="B448" s="201" t="str">
        <f>B273</f>
        <v>Investments</v>
      </c>
      <c r="C448" s="101">
        <f t="shared" ref="C448:K448" si="111">C273</f>
        <v>583</v>
      </c>
      <c r="D448" s="101">
        <f t="shared" si="111"/>
        <v>884</v>
      </c>
      <c r="E448" s="101">
        <f t="shared" si="111"/>
        <v>633</v>
      </c>
      <c r="F448" s="101">
        <f t="shared" si="111"/>
        <v>469</v>
      </c>
      <c r="G448" s="101">
        <f t="shared" si="111"/>
        <v>2512</v>
      </c>
      <c r="H448" s="101">
        <f t="shared" si="111"/>
        <v>1076</v>
      </c>
      <c r="I448" s="101">
        <f t="shared" si="111"/>
        <v>425</v>
      </c>
      <c r="J448" s="101">
        <f t="shared" si="111"/>
        <v>220</v>
      </c>
      <c r="K448" s="101">
        <f t="shared" si="111"/>
        <v>181</v>
      </c>
    </row>
    <row r="450" spans="1:14">
      <c r="B450" s="227" t="s">
        <v>499</v>
      </c>
      <c r="C450" s="202">
        <f>C448/C447</f>
        <v>9.4443544467843837E-2</v>
      </c>
      <c r="D450" s="202">
        <f t="shared" ref="D450:K450" si="112">D448/D447</f>
        <v>0.1256931608133087</v>
      </c>
      <c r="E450" s="202">
        <f t="shared" si="112"/>
        <v>7.0607919687674284E-2</v>
      </c>
      <c r="F450" s="202">
        <f t="shared" si="112"/>
        <v>4.787179748902725E-2</v>
      </c>
      <c r="G450" s="202">
        <f t="shared" si="112"/>
        <v>0.27441555604107493</v>
      </c>
      <c r="H450" s="202">
        <f t="shared" si="112"/>
        <v>0.12339449541284404</v>
      </c>
      <c r="I450" s="202">
        <f t="shared" si="112"/>
        <v>4.1270149543600698E-2</v>
      </c>
      <c r="J450" s="202">
        <f t="shared" si="112"/>
        <v>1.5233347181830772E-2</v>
      </c>
      <c r="K450" s="202">
        <f t="shared" si="112"/>
        <v>1.094581519109821E-2</v>
      </c>
      <c r="M450" s="160">
        <f>MEDIAN(C450:K450)</f>
        <v>7.0607919687674284E-2</v>
      </c>
      <c r="N450" s="160">
        <f>AVERAGE(C450:K450)</f>
        <v>8.9319531758700291E-2</v>
      </c>
    </row>
    <row r="451" spans="1:14">
      <c r="B451" s="227"/>
      <c r="C451" s="202"/>
      <c r="D451" s="202"/>
      <c r="E451" s="202"/>
      <c r="F451" s="202"/>
      <c r="G451" s="202"/>
      <c r="H451" s="202"/>
      <c r="I451" s="202"/>
      <c r="J451" s="202"/>
      <c r="K451" s="202"/>
    </row>
    <row r="452" spans="1:14" ht="18">
      <c r="A452" t="s">
        <v>29</v>
      </c>
      <c r="B452" s="219" t="s">
        <v>577</v>
      </c>
      <c r="C452" s="202"/>
      <c r="D452" s="202"/>
      <c r="E452" s="202"/>
      <c r="F452" s="202"/>
      <c r="G452" s="202"/>
      <c r="H452" s="202"/>
      <c r="I452" s="202"/>
      <c r="J452" s="202"/>
      <c r="K452" s="202"/>
    </row>
    <row r="453" spans="1:14">
      <c r="B453" s="227"/>
      <c r="C453" s="202"/>
      <c r="D453" s="202"/>
      <c r="E453" s="202"/>
      <c r="F453" s="202"/>
      <c r="G453" s="202"/>
      <c r="H453" s="202"/>
      <c r="I453" s="202"/>
      <c r="J453" s="202"/>
      <c r="K453" s="202"/>
    </row>
    <row r="454" spans="1:14">
      <c r="B454" s="14" t="s">
        <v>209</v>
      </c>
      <c r="C454" s="70">
        <v>2016</v>
      </c>
      <c r="D454" s="70">
        <v>2017</v>
      </c>
      <c r="E454" s="70">
        <v>2018</v>
      </c>
      <c r="F454" s="70">
        <v>2019</v>
      </c>
      <c r="G454" s="70">
        <v>2020</v>
      </c>
      <c r="H454" s="70">
        <v>2021</v>
      </c>
      <c r="I454" s="70">
        <v>2022</v>
      </c>
      <c r="J454" s="70">
        <v>2023</v>
      </c>
      <c r="K454" s="70">
        <v>2024</v>
      </c>
      <c r="M454" s="14" t="s">
        <v>430</v>
      </c>
      <c r="N454" s="14" t="s">
        <v>361</v>
      </c>
    </row>
    <row r="455" spans="1:14">
      <c r="B455" t="s">
        <v>43</v>
      </c>
      <c r="C455" s="117">
        <f>C447</f>
        <v>6173</v>
      </c>
      <c r="D455" s="117">
        <f t="shared" ref="D455:K455" si="113">D447</f>
        <v>7033</v>
      </c>
      <c r="E455" s="117">
        <f t="shared" si="113"/>
        <v>8965</v>
      </c>
      <c r="F455" s="117">
        <f t="shared" si="113"/>
        <v>9797</v>
      </c>
      <c r="G455" s="117">
        <f t="shared" si="113"/>
        <v>9154</v>
      </c>
      <c r="H455" s="117">
        <f t="shared" si="113"/>
        <v>8720</v>
      </c>
      <c r="I455" s="117">
        <f t="shared" si="113"/>
        <v>10298</v>
      </c>
      <c r="J455" s="117">
        <f t="shared" si="113"/>
        <v>14442</v>
      </c>
      <c r="K455" s="117">
        <f t="shared" si="113"/>
        <v>16536</v>
      </c>
      <c r="M455" s="188"/>
      <c r="N455" s="188"/>
    </row>
    <row r="456" spans="1:14">
      <c r="B456" s="201" t="s">
        <v>577</v>
      </c>
      <c r="C456" s="101">
        <f>BS!C30</f>
        <v>67</v>
      </c>
      <c r="D456" s="101">
        <f>BS!D30</f>
        <v>61</v>
      </c>
      <c r="E456" s="101">
        <f>BS!E30</f>
        <v>174</v>
      </c>
      <c r="F456" s="101">
        <f>BS!F30</f>
        <v>157</v>
      </c>
      <c r="G456" s="101">
        <f>BS!G30</f>
        <v>126</v>
      </c>
      <c r="H456" s="101">
        <f>BS!H30</f>
        <v>620</v>
      </c>
      <c r="I456" s="101">
        <f>BS!I30</f>
        <v>913</v>
      </c>
      <c r="J456" s="101">
        <f>BS!J30</f>
        <v>964</v>
      </c>
      <c r="K456" s="101">
        <f>BS!K30</f>
        <v>1907</v>
      </c>
    </row>
    <row r="457" spans="1:14">
      <c r="M457" s="424" t="s">
        <v>580</v>
      </c>
      <c r="N457" s="424"/>
    </row>
    <row r="458" spans="1:14">
      <c r="B458" s="227" t="s">
        <v>578</v>
      </c>
      <c r="C458" s="202">
        <f>C456/C455</f>
        <v>1.0853717803337113E-2</v>
      </c>
      <c r="D458" s="202">
        <f t="shared" ref="D458:K458" si="114">D456/D455</f>
        <v>8.6733968434522957E-3</v>
      </c>
      <c r="E458" s="202">
        <f t="shared" si="114"/>
        <v>1.9408812046848856E-2</v>
      </c>
      <c r="F458" s="202">
        <f t="shared" si="114"/>
        <v>1.6025313871593345E-2</v>
      </c>
      <c r="G458" s="202">
        <f t="shared" si="114"/>
        <v>1.3764474546646276E-2</v>
      </c>
      <c r="H458" s="202">
        <f t="shared" si="114"/>
        <v>7.1100917431192664E-2</v>
      </c>
      <c r="I458" s="202">
        <f t="shared" si="114"/>
        <v>8.8657991843076323E-2</v>
      </c>
      <c r="J458" s="202">
        <f t="shared" si="114"/>
        <v>6.674975765129483E-2</v>
      </c>
      <c r="K458" s="202">
        <f t="shared" si="114"/>
        <v>0.1153241412675375</v>
      </c>
      <c r="M458" s="160">
        <f>MEDIAN(G458:K458)</f>
        <v>7.1100917431192664E-2</v>
      </c>
      <c r="N458" s="160">
        <f>AVERAGE(G458:K458)</f>
        <v>7.1119456547949517E-2</v>
      </c>
    </row>
    <row r="459" spans="1:14">
      <c r="B459" s="227"/>
      <c r="C459" s="202"/>
      <c r="D459" s="202"/>
      <c r="E459" s="202"/>
      <c r="F459" s="202"/>
      <c r="G459" s="202"/>
      <c r="H459" s="202"/>
      <c r="I459" s="202"/>
      <c r="J459" s="202"/>
      <c r="K459" s="202"/>
    </row>
    <row r="461" spans="1:14" ht="18">
      <c r="A461" s="159" t="s">
        <v>29</v>
      </c>
      <c r="B461" s="157" t="s">
        <v>503</v>
      </c>
    </row>
    <row r="463" spans="1:14">
      <c r="B463" s="14" t="s">
        <v>209</v>
      </c>
      <c r="C463" s="70">
        <v>2016</v>
      </c>
      <c r="D463" s="70">
        <v>2017</v>
      </c>
      <c r="E463" s="70">
        <v>2018</v>
      </c>
      <c r="F463" s="70">
        <v>2019</v>
      </c>
      <c r="G463" s="70">
        <v>2020</v>
      </c>
      <c r="H463" s="70">
        <v>2021</v>
      </c>
      <c r="I463" s="70">
        <v>2022</v>
      </c>
      <c r="J463" s="70">
        <v>2023</v>
      </c>
      <c r="K463" s="70">
        <v>2024</v>
      </c>
      <c r="M463" s="14" t="s">
        <v>430</v>
      </c>
      <c r="N463" s="14" t="s">
        <v>361</v>
      </c>
    </row>
    <row r="464" spans="1:14">
      <c r="B464" s="97" t="s">
        <v>440</v>
      </c>
      <c r="C464" s="98">
        <v>1061</v>
      </c>
      <c r="D464" s="98">
        <v>1285</v>
      </c>
      <c r="E464" s="98">
        <v>2134</v>
      </c>
      <c r="F464" s="98">
        <v>2757</v>
      </c>
      <c r="G464" s="98">
        <v>3575</v>
      </c>
      <c r="H464" s="98">
        <v>4049</v>
      </c>
      <c r="I464" s="98">
        <v>4405</v>
      </c>
      <c r="J464" s="98">
        <v>5142</v>
      </c>
      <c r="K464" s="98">
        <v>5750</v>
      </c>
    </row>
    <row r="465" spans="2:14">
      <c r="B465" s="231" t="s">
        <v>441</v>
      </c>
      <c r="C465" s="96">
        <v>271</v>
      </c>
      <c r="D465" s="96">
        <v>416</v>
      </c>
      <c r="E465" s="96">
        <v>636</v>
      </c>
      <c r="F465" s="96">
        <v>886</v>
      </c>
      <c r="G465" s="98">
        <v>1201</v>
      </c>
      <c r="H465" s="98">
        <v>1616</v>
      </c>
      <c r="I465" s="98">
        <v>1981</v>
      </c>
      <c r="J465" s="98">
        <v>2452</v>
      </c>
      <c r="K465" s="98">
        <v>2836</v>
      </c>
    </row>
    <row r="466" spans="2:14" ht="15" thickBot="1">
      <c r="B466" s="31" t="s">
        <v>504</v>
      </c>
      <c r="C466" s="232">
        <f>C464-C465</f>
        <v>790</v>
      </c>
      <c r="D466" s="232">
        <f t="shared" ref="D466:K466" si="115">D464-D465</f>
        <v>869</v>
      </c>
      <c r="E466" s="232">
        <f t="shared" si="115"/>
        <v>1498</v>
      </c>
      <c r="F466" s="232">
        <f t="shared" si="115"/>
        <v>1871</v>
      </c>
      <c r="G466" s="232">
        <f t="shared" si="115"/>
        <v>2374</v>
      </c>
      <c r="H466" s="232">
        <f t="shared" si="115"/>
        <v>2433</v>
      </c>
      <c r="I466" s="232">
        <f t="shared" si="115"/>
        <v>2424</v>
      </c>
      <c r="J466" s="232">
        <f t="shared" si="115"/>
        <v>2690</v>
      </c>
      <c r="K466" s="232">
        <f t="shared" si="115"/>
        <v>2914</v>
      </c>
    </row>
    <row r="468" spans="2:14">
      <c r="B468" s="22" t="s">
        <v>14</v>
      </c>
      <c r="C468" s="230">
        <f>BS!C40</f>
        <v>5833</v>
      </c>
      <c r="D468" s="230">
        <f>BS!D40</f>
        <v>7009</v>
      </c>
      <c r="E468" s="230">
        <f>BS!E40</f>
        <v>9522</v>
      </c>
      <c r="F468" s="230">
        <f>BS!F40</f>
        <v>11387</v>
      </c>
      <c r="G468" s="230">
        <f>BS!G40</f>
        <v>12450</v>
      </c>
      <c r="H468" s="230">
        <f>BS!H40</f>
        <v>14559</v>
      </c>
      <c r="I468" s="230">
        <f>BS!I40</f>
        <v>16140</v>
      </c>
      <c r="J468" s="230">
        <f>BS!J40</f>
        <v>19198</v>
      </c>
      <c r="K468" s="230">
        <f>BS!K40</f>
        <v>23115</v>
      </c>
    </row>
    <row r="470" spans="2:14">
      <c r="B470" s="185" t="s">
        <v>505</v>
      </c>
      <c r="C470" s="233">
        <f t="shared" ref="C470:K470" si="116">C466/C468</f>
        <v>0.13543631064632264</v>
      </c>
      <c r="D470" s="233">
        <f t="shared" si="116"/>
        <v>0.12398344985019261</v>
      </c>
      <c r="E470" s="233">
        <f t="shared" si="116"/>
        <v>0.15731989077924804</v>
      </c>
      <c r="F470" s="233">
        <f t="shared" si="116"/>
        <v>0.16431017827346975</v>
      </c>
      <c r="G470" s="233">
        <f t="shared" si="116"/>
        <v>0.19068273092369478</v>
      </c>
      <c r="H470" s="233">
        <f t="shared" si="116"/>
        <v>0.16711312590150423</v>
      </c>
      <c r="I470" s="233">
        <f t="shared" si="116"/>
        <v>0.15018587360594796</v>
      </c>
      <c r="J470" s="233">
        <f t="shared" si="116"/>
        <v>0.14011876237108031</v>
      </c>
      <c r="K470" s="233">
        <f t="shared" si="116"/>
        <v>0.12606532554618213</v>
      </c>
      <c r="M470" s="160">
        <f>MEDIAN(C470:K470)</f>
        <v>0.15018587360594796</v>
      </c>
      <c r="N470" s="160">
        <f>AVERAGE(C470:K470)</f>
        <v>0.15057951643307138</v>
      </c>
    </row>
    <row r="471" spans="2:14">
      <c r="J471" t="s">
        <v>35</v>
      </c>
    </row>
    <row r="472" spans="2:14">
      <c r="B472" s="22" t="s">
        <v>506</v>
      </c>
      <c r="C472" s="22">
        <f>'P&amp;L'!C3</f>
        <v>6173</v>
      </c>
      <c r="D472" s="22">
        <f>'P&amp;L'!D3</f>
        <v>7033</v>
      </c>
      <c r="E472" s="22">
        <f>'P&amp;L'!E3</f>
        <v>8965</v>
      </c>
      <c r="F472" s="22">
        <f>'P&amp;L'!F3</f>
        <v>9797</v>
      </c>
      <c r="G472" s="22">
        <f>'P&amp;L'!G3</f>
        <v>9154</v>
      </c>
      <c r="H472" s="22">
        <f>'P&amp;L'!H3</f>
        <v>8720</v>
      </c>
      <c r="I472" s="22">
        <f>'P&amp;L'!I3</f>
        <v>10298</v>
      </c>
      <c r="J472" s="22">
        <f>'P&amp;L'!J3</f>
        <v>14442</v>
      </c>
      <c r="K472" s="22">
        <f>'P&amp;L'!K3</f>
        <v>16536</v>
      </c>
    </row>
    <row r="475" spans="2:14">
      <c r="B475" s="185" t="s">
        <v>507</v>
      </c>
      <c r="C475" s="233">
        <f t="shared" ref="C475:K475" si="117">C466/C472</f>
        <v>0.12797667260651224</v>
      </c>
      <c r="D475" s="233">
        <f t="shared" si="117"/>
        <v>0.12356035831082042</v>
      </c>
      <c r="E475" s="233">
        <f t="shared" si="117"/>
        <v>0.16709425543781373</v>
      </c>
      <c r="F475" s="233">
        <f t="shared" si="117"/>
        <v>0.19097682964172705</v>
      </c>
      <c r="G475" s="233">
        <f t="shared" si="117"/>
        <v>0.25934017915665281</v>
      </c>
      <c r="H475" s="233">
        <f t="shared" si="117"/>
        <v>0.27901376146788992</v>
      </c>
      <c r="I475" s="233">
        <f t="shared" si="117"/>
        <v>0.23538551174985434</v>
      </c>
      <c r="J475" s="233">
        <f t="shared" si="117"/>
        <v>0.18626229054147625</v>
      </c>
      <c r="K475" s="233">
        <f t="shared" si="117"/>
        <v>0.17622157716497339</v>
      </c>
      <c r="M475" s="160">
        <f>MEDIAN(C475:K475)</f>
        <v>0.18626229054147625</v>
      </c>
      <c r="N475" s="160">
        <f>AVERAGE(C475:K475)</f>
        <v>0.19398127067530224</v>
      </c>
    </row>
    <row r="476" spans="2:14">
      <c r="B476" s="40"/>
      <c r="C476" s="213"/>
      <c r="D476" s="213"/>
      <c r="E476" s="213"/>
      <c r="F476" s="213"/>
      <c r="G476" s="213"/>
      <c r="H476" s="213"/>
      <c r="I476" s="213"/>
      <c r="J476" s="213"/>
      <c r="K476" s="213"/>
      <c r="M476" s="188"/>
      <c r="N476" s="188"/>
    </row>
    <row r="477" spans="2:14">
      <c r="B477" s="185" t="s">
        <v>526</v>
      </c>
      <c r="C477" s="233"/>
      <c r="D477" s="233">
        <f>D464/C464-1</f>
        <v>0.21112158341187559</v>
      </c>
      <c r="E477" s="233">
        <f t="shared" ref="E477:K477" si="118">E464/D464-1</f>
        <v>0.66070038910505846</v>
      </c>
      <c r="F477" s="233">
        <f t="shared" si="118"/>
        <v>0.29194001874414255</v>
      </c>
      <c r="G477" s="233">
        <f t="shared" si="118"/>
        <v>0.29669931084512147</v>
      </c>
      <c r="H477" s="233">
        <f t="shared" si="118"/>
        <v>0.13258741258741269</v>
      </c>
      <c r="I477" s="233">
        <f t="shared" si="118"/>
        <v>8.7922943936774578E-2</v>
      </c>
      <c r="J477" s="233">
        <f t="shared" si="118"/>
        <v>0.16730987514188422</v>
      </c>
      <c r="K477" s="233">
        <f t="shared" si="118"/>
        <v>0.11824192921042398</v>
      </c>
      <c r="M477" s="160">
        <f>MEDIAN(C477:K477)</f>
        <v>0.18921572927687991</v>
      </c>
      <c r="N477" s="160">
        <f>AVERAGE(C477:K477)</f>
        <v>0.24581543287283669</v>
      </c>
    </row>
    <row r="478" spans="2:14">
      <c r="B478" s="40"/>
      <c r="C478" s="213"/>
      <c r="D478" s="213"/>
      <c r="E478" s="213"/>
      <c r="F478" s="213"/>
      <c r="G478" s="213"/>
      <c r="H478" s="213"/>
      <c r="I478" s="213"/>
      <c r="J478" s="213"/>
      <c r="K478" s="213"/>
      <c r="M478" s="188"/>
      <c r="N478" s="188"/>
    </row>
    <row r="479" spans="2:14">
      <c r="B479" s="22" t="s">
        <v>520</v>
      </c>
      <c r="C479" s="22"/>
      <c r="D479" s="230">
        <f t="shared" ref="D479:K479" si="119">D464-C464</f>
        <v>224</v>
      </c>
      <c r="E479" s="230">
        <f t="shared" si="119"/>
        <v>849</v>
      </c>
      <c r="F479" s="230">
        <f t="shared" si="119"/>
        <v>623</v>
      </c>
      <c r="G479" s="230">
        <f t="shared" si="119"/>
        <v>818</v>
      </c>
      <c r="H479" s="230">
        <f t="shared" si="119"/>
        <v>474</v>
      </c>
      <c r="I479" s="230">
        <f t="shared" si="119"/>
        <v>356</v>
      </c>
      <c r="J479" s="230">
        <f t="shared" si="119"/>
        <v>737</v>
      </c>
      <c r="K479" s="230">
        <f t="shared" si="119"/>
        <v>608</v>
      </c>
      <c r="M479" s="188"/>
      <c r="N479" s="188"/>
    </row>
    <row r="480" spans="2:14">
      <c r="B480" s="22" t="s">
        <v>112</v>
      </c>
      <c r="C480" s="22"/>
      <c r="D480" s="22">
        <f t="shared" ref="D480:K480" si="120">D472-C472</f>
        <v>860</v>
      </c>
      <c r="E480" s="22">
        <f t="shared" si="120"/>
        <v>1932</v>
      </c>
      <c r="F480" s="22">
        <f t="shared" si="120"/>
        <v>832</v>
      </c>
      <c r="G480" s="22">
        <f t="shared" si="120"/>
        <v>-643</v>
      </c>
      <c r="H480" s="22">
        <f t="shared" si="120"/>
        <v>-434</v>
      </c>
      <c r="I480" s="22">
        <f t="shared" si="120"/>
        <v>1578</v>
      </c>
      <c r="J480" s="22">
        <f t="shared" si="120"/>
        <v>4144</v>
      </c>
      <c r="K480" s="22">
        <f t="shared" si="120"/>
        <v>2094</v>
      </c>
      <c r="M480" s="188"/>
      <c r="N480" s="188"/>
    </row>
    <row r="481" spans="2:14">
      <c r="B481" s="40"/>
      <c r="C481" s="213"/>
      <c r="D481" s="213"/>
      <c r="E481" s="213"/>
      <c r="F481" s="213"/>
      <c r="G481" s="213"/>
      <c r="H481" s="213"/>
      <c r="I481" s="213"/>
      <c r="J481" s="213"/>
      <c r="K481" s="213"/>
      <c r="M481" s="188"/>
      <c r="N481" s="188"/>
    </row>
    <row r="482" spans="2:14">
      <c r="B482" s="234" t="s">
        <v>521</v>
      </c>
      <c r="C482" s="235"/>
      <c r="D482" s="236">
        <f>D480/D479</f>
        <v>3.8392857142857144</v>
      </c>
      <c r="E482" s="236">
        <f t="shared" ref="E482:K482" si="121">E480/E479</f>
        <v>2.2756183745583041</v>
      </c>
      <c r="F482" s="236">
        <f t="shared" si="121"/>
        <v>1.3354735152487962</v>
      </c>
      <c r="G482" s="236">
        <f t="shared" si="121"/>
        <v>-0.78606356968215163</v>
      </c>
      <c r="H482" s="236">
        <f t="shared" si="121"/>
        <v>-0.91561181434599159</v>
      </c>
      <c r="I482" s="236">
        <f t="shared" si="121"/>
        <v>4.4325842696629216</v>
      </c>
      <c r="J482" s="236">
        <f t="shared" si="121"/>
        <v>5.6227951153324289</v>
      </c>
      <c r="K482" s="236">
        <f t="shared" si="121"/>
        <v>3.4440789473684212</v>
      </c>
      <c r="M482" s="237">
        <f>MEDIAN(C482:K482)</f>
        <v>2.8598486609633627</v>
      </c>
      <c r="N482" s="237">
        <f>AVERAGE(C482:K482)</f>
        <v>2.4060200690535556</v>
      </c>
    </row>
    <row r="483" spans="2:14">
      <c r="B483" s="238" t="s">
        <v>522</v>
      </c>
      <c r="C483" s="213"/>
      <c r="D483" s="213"/>
      <c r="E483" s="213"/>
      <c r="F483" s="213"/>
      <c r="G483" s="213"/>
      <c r="H483" s="213"/>
      <c r="I483" s="213"/>
      <c r="J483" s="213"/>
      <c r="K483" s="213"/>
      <c r="M483" s="188"/>
      <c r="N483" s="188"/>
    </row>
    <row r="484" spans="2:14">
      <c r="B484" s="239" t="s">
        <v>110</v>
      </c>
      <c r="C484" s="233"/>
      <c r="D484" s="236">
        <f>D472/D468</f>
        <v>1.0034241689256671</v>
      </c>
      <c r="E484" s="236">
        <f t="shared" ref="E484:K484" si="122">E472/E468</f>
        <v>0.94150388573829025</v>
      </c>
      <c r="F484" s="236">
        <f t="shared" si="122"/>
        <v>0.86036708527267935</v>
      </c>
      <c r="G484" s="236">
        <f t="shared" si="122"/>
        <v>0.73526104417670679</v>
      </c>
      <c r="H484" s="236">
        <f t="shared" si="122"/>
        <v>0.59894223504361566</v>
      </c>
      <c r="I484" s="236">
        <f t="shared" si="122"/>
        <v>0.63804213135068155</v>
      </c>
      <c r="J484" s="236">
        <f t="shared" si="122"/>
        <v>0.75226586102719029</v>
      </c>
      <c r="K484" s="236">
        <f t="shared" si="122"/>
        <v>0.71537962362102536</v>
      </c>
      <c r="M484" s="237">
        <f>MEDIAN(C484:K484)</f>
        <v>0.74376345260194854</v>
      </c>
      <c r="N484" s="237">
        <f>AVERAGE(C484:K484)</f>
        <v>0.78064825439448204</v>
      </c>
    </row>
    <row r="486" spans="2:14">
      <c r="B486" t="s">
        <v>517</v>
      </c>
    </row>
    <row r="487" spans="2:14">
      <c r="B487" s="14" t="s">
        <v>209</v>
      </c>
      <c r="C487" s="70">
        <v>2016</v>
      </c>
      <c r="D487" s="70">
        <v>2017</v>
      </c>
      <c r="E487" s="70">
        <v>2018</v>
      </c>
      <c r="F487" s="70">
        <v>2019</v>
      </c>
      <c r="G487" s="70">
        <v>2020</v>
      </c>
      <c r="H487" s="70">
        <v>2021</v>
      </c>
      <c r="I487" s="70">
        <v>2022</v>
      </c>
      <c r="J487" s="70">
        <v>2023</v>
      </c>
      <c r="K487" s="70">
        <v>2024</v>
      </c>
    </row>
    <row r="488" spans="2:14">
      <c r="B488" t="s">
        <v>508</v>
      </c>
      <c r="C488">
        <v>86</v>
      </c>
      <c r="D488">
        <v>86</v>
      </c>
      <c r="E488">
        <v>86</v>
      </c>
      <c r="F488">
        <v>86</v>
      </c>
      <c r="G488">
        <v>182</v>
      </c>
      <c r="H488">
        <v>232</v>
      </c>
      <c r="I488">
        <v>230</v>
      </c>
      <c r="J488">
        <v>230</v>
      </c>
      <c r="K488">
        <v>229</v>
      </c>
    </row>
    <row r="489" spans="2:14">
      <c r="B489" t="s">
        <v>509</v>
      </c>
      <c r="C489">
        <v>177</v>
      </c>
      <c r="D489">
        <v>230</v>
      </c>
      <c r="E489">
        <v>484</v>
      </c>
      <c r="F489">
        <v>644</v>
      </c>
      <c r="G489">
        <v>871</v>
      </c>
      <c r="H489">
        <v>866</v>
      </c>
      <c r="I489">
        <v>867</v>
      </c>
      <c r="J489" s="229">
        <v>1051</v>
      </c>
      <c r="K489" s="229">
        <v>1127</v>
      </c>
    </row>
    <row r="490" spans="2:14">
      <c r="B490" t="s">
        <v>510</v>
      </c>
      <c r="C490">
        <v>663</v>
      </c>
      <c r="D490">
        <v>795</v>
      </c>
      <c r="E490" s="229">
        <v>1303</v>
      </c>
      <c r="F490" s="229">
        <v>1548</v>
      </c>
      <c r="G490" s="229">
        <v>1928</v>
      </c>
      <c r="H490" s="229">
        <v>2088</v>
      </c>
      <c r="I490" s="229">
        <v>2336</v>
      </c>
      <c r="J490" s="229">
        <v>2598</v>
      </c>
      <c r="K490" s="229">
        <v>2744</v>
      </c>
    </row>
    <row r="491" spans="2:14">
      <c r="B491" t="s">
        <v>511</v>
      </c>
      <c r="C491">
        <v>51</v>
      </c>
      <c r="D491">
        <v>68</v>
      </c>
      <c r="E491">
        <v>110</v>
      </c>
      <c r="F491">
        <v>140</v>
      </c>
      <c r="G491">
        <v>188</v>
      </c>
      <c r="H491">
        <v>204</v>
      </c>
      <c r="I491">
        <v>226</v>
      </c>
      <c r="J491">
        <v>266</v>
      </c>
      <c r="K491">
        <v>231</v>
      </c>
    </row>
    <row r="492" spans="2:14">
      <c r="B492" t="s">
        <v>512</v>
      </c>
      <c r="C492">
        <v>12</v>
      </c>
      <c r="D492">
        <v>14</v>
      </c>
      <c r="E492">
        <v>21</v>
      </c>
      <c r="F492">
        <v>28</v>
      </c>
      <c r="G492">
        <v>34</v>
      </c>
      <c r="H492">
        <v>38</v>
      </c>
      <c r="I492">
        <v>37</v>
      </c>
      <c r="J492">
        <v>39</v>
      </c>
      <c r="K492">
        <v>42</v>
      </c>
    </row>
    <row r="493" spans="2:14">
      <c r="B493" t="s">
        <v>513</v>
      </c>
      <c r="C493">
        <v>19</v>
      </c>
      <c r="D493">
        <v>20</v>
      </c>
      <c r="E493">
        <v>37</v>
      </c>
      <c r="F493">
        <v>53</v>
      </c>
      <c r="G493">
        <v>71</v>
      </c>
      <c r="H493">
        <v>98</v>
      </c>
      <c r="I493">
        <v>121</v>
      </c>
      <c r="J493">
        <v>138</v>
      </c>
      <c r="K493">
        <v>200</v>
      </c>
    </row>
    <row r="494" spans="2:14">
      <c r="B494" t="s">
        <v>514</v>
      </c>
      <c r="C494">
        <v>0</v>
      </c>
      <c r="D494">
        <v>0</v>
      </c>
      <c r="E494">
        <v>0</v>
      </c>
      <c r="F494">
        <v>0</v>
      </c>
      <c r="G494">
        <v>0</v>
      </c>
      <c r="H494">
        <v>0</v>
      </c>
      <c r="I494">
        <v>0</v>
      </c>
      <c r="J494">
        <v>0</v>
      </c>
      <c r="K494">
        <v>0</v>
      </c>
    </row>
    <row r="495" spans="2:14">
      <c r="B495" t="s">
        <v>515</v>
      </c>
      <c r="C495">
        <v>53</v>
      </c>
      <c r="D495">
        <v>72</v>
      </c>
      <c r="E495">
        <v>93</v>
      </c>
      <c r="F495">
        <v>258</v>
      </c>
      <c r="G495">
        <v>301</v>
      </c>
      <c r="H495">
        <v>523</v>
      </c>
      <c r="I495">
        <v>588</v>
      </c>
      <c r="J495">
        <v>820</v>
      </c>
      <c r="K495" s="229">
        <v>1177</v>
      </c>
    </row>
    <row r="496" spans="2:14" ht="15" thickBot="1">
      <c r="B496" s="31" t="s">
        <v>519</v>
      </c>
      <c r="C496" s="31">
        <f>SUM(C488:C495)</f>
        <v>1061</v>
      </c>
      <c r="D496" s="31">
        <f t="shared" ref="D496:K496" si="123">SUM(D488:D495)</f>
        <v>1285</v>
      </c>
      <c r="E496" s="31">
        <f t="shared" si="123"/>
        <v>2134</v>
      </c>
      <c r="F496" s="31">
        <f t="shared" si="123"/>
        <v>2757</v>
      </c>
      <c r="G496" s="31">
        <f t="shared" si="123"/>
        <v>3575</v>
      </c>
      <c r="H496" s="31">
        <f t="shared" si="123"/>
        <v>4049</v>
      </c>
      <c r="I496" s="31">
        <f t="shared" si="123"/>
        <v>4405</v>
      </c>
      <c r="J496" s="31">
        <f t="shared" si="123"/>
        <v>5142</v>
      </c>
      <c r="K496" s="31">
        <f t="shared" si="123"/>
        <v>5750</v>
      </c>
    </row>
    <row r="498" spans="2:15">
      <c r="B498" s="14" t="s">
        <v>516</v>
      </c>
      <c r="C498" s="70">
        <v>2016</v>
      </c>
      <c r="D498" s="70">
        <v>2017</v>
      </c>
      <c r="E498" s="70">
        <v>2018</v>
      </c>
      <c r="F498" s="70">
        <v>2019</v>
      </c>
      <c r="G498" s="70">
        <v>2020</v>
      </c>
      <c r="H498" s="70">
        <v>2021</v>
      </c>
      <c r="I498" s="70">
        <v>2022</v>
      </c>
      <c r="J498" s="70">
        <v>2023</v>
      </c>
      <c r="K498" s="70">
        <v>2024</v>
      </c>
    </row>
    <row r="499" spans="2:15">
      <c r="B499" t="s">
        <v>508</v>
      </c>
      <c r="C499" s="32">
        <f>C488/C$496</f>
        <v>8.1055607917059375E-2</v>
      </c>
      <c r="D499" s="32">
        <f t="shared" ref="D499:K499" si="124">D488/D$496</f>
        <v>6.6926070038910504E-2</v>
      </c>
      <c r="E499" s="32">
        <f t="shared" si="124"/>
        <v>4.0299906279287721E-2</v>
      </c>
      <c r="F499" s="32">
        <f t="shared" si="124"/>
        <v>3.1193326079071455E-2</v>
      </c>
      <c r="G499" s="32">
        <f t="shared" si="124"/>
        <v>5.0909090909090911E-2</v>
      </c>
      <c r="H499" s="32">
        <f t="shared" si="124"/>
        <v>5.7298098295875524E-2</v>
      </c>
      <c r="I499" s="32">
        <f t="shared" si="124"/>
        <v>5.2213393870601588E-2</v>
      </c>
      <c r="J499" s="32">
        <f t="shared" si="124"/>
        <v>4.4729677168416956E-2</v>
      </c>
      <c r="K499" s="32">
        <f t="shared" si="124"/>
        <v>3.982608695652174E-2</v>
      </c>
      <c r="M499" s="160">
        <f>MEDIAN(C499:K499)</f>
        <v>5.0909090909090911E-2</v>
      </c>
      <c r="N499" s="160">
        <f>AVERAGE(C499:K499)</f>
        <v>5.1605695279426197E-2</v>
      </c>
      <c r="O499" t="s">
        <v>518</v>
      </c>
    </row>
    <row r="500" spans="2:15">
      <c r="B500" s="21" t="s">
        <v>509</v>
      </c>
      <c r="C500" s="29">
        <f t="shared" ref="C500:K500" si="125">C489/C$496</f>
        <v>0.16682375117813383</v>
      </c>
      <c r="D500" s="29">
        <f t="shared" si="125"/>
        <v>0.17898832684824903</v>
      </c>
      <c r="E500" s="29">
        <f t="shared" si="125"/>
        <v>0.22680412371134021</v>
      </c>
      <c r="F500" s="29">
        <f t="shared" si="125"/>
        <v>0.23358723249909322</v>
      </c>
      <c r="G500" s="29">
        <f t="shared" si="125"/>
        <v>0.24363636363636362</v>
      </c>
      <c r="H500" s="29">
        <f t="shared" si="125"/>
        <v>0.21387997036305262</v>
      </c>
      <c r="I500" s="29">
        <f t="shared" si="125"/>
        <v>0.19682179341657208</v>
      </c>
      <c r="J500" s="29">
        <f t="shared" si="125"/>
        <v>0.20439517697394011</v>
      </c>
      <c r="K500" s="29">
        <f t="shared" si="125"/>
        <v>0.19600000000000001</v>
      </c>
      <c r="M500" s="160">
        <f t="shared" ref="M500:M501" si="126">MEDIAN(C500:K500)</f>
        <v>0.20439517697394011</v>
      </c>
      <c r="N500" s="160">
        <f t="shared" ref="N500:N501" si="127">AVERAGE(C500:K500)</f>
        <v>0.20677074873630497</v>
      </c>
    </row>
    <row r="501" spans="2:15">
      <c r="B501" s="21" t="s">
        <v>510</v>
      </c>
      <c r="C501" s="29">
        <f t="shared" ref="C501:K501" si="128">C490/C$496</f>
        <v>0.6248821866163996</v>
      </c>
      <c r="D501" s="29">
        <f t="shared" si="128"/>
        <v>0.61867704280155644</v>
      </c>
      <c r="E501" s="29">
        <f t="shared" si="128"/>
        <v>0.61059044048734767</v>
      </c>
      <c r="F501" s="29">
        <f t="shared" si="128"/>
        <v>0.5614798694232862</v>
      </c>
      <c r="G501" s="29">
        <f t="shared" si="128"/>
        <v>0.53930069930069935</v>
      </c>
      <c r="H501" s="29">
        <f t="shared" si="128"/>
        <v>0.5156828846628797</v>
      </c>
      <c r="I501" s="29">
        <f t="shared" si="128"/>
        <v>0.53030646992054487</v>
      </c>
      <c r="J501" s="29">
        <f t="shared" si="128"/>
        <v>0.50525087514585765</v>
      </c>
      <c r="K501" s="29">
        <f t="shared" si="128"/>
        <v>0.47721739130434782</v>
      </c>
      <c r="M501" s="160">
        <f t="shared" si="126"/>
        <v>0.53930069930069935</v>
      </c>
      <c r="N501" s="160">
        <f t="shared" si="127"/>
        <v>0.55370976218476875</v>
      </c>
    </row>
    <row r="502" spans="2:15">
      <c r="B502" t="s">
        <v>511</v>
      </c>
      <c r="C502" s="32">
        <f t="shared" ref="C502:K502" si="129">C491/C$496</f>
        <v>4.8067860508953821E-2</v>
      </c>
      <c r="D502" s="32">
        <f t="shared" si="129"/>
        <v>5.291828793774319E-2</v>
      </c>
      <c r="E502" s="32">
        <f t="shared" si="129"/>
        <v>5.1546391752577317E-2</v>
      </c>
      <c r="F502" s="32">
        <f t="shared" si="129"/>
        <v>5.0779833151976789E-2</v>
      </c>
      <c r="G502" s="32">
        <f t="shared" si="129"/>
        <v>5.2587412587412591E-2</v>
      </c>
      <c r="H502" s="32">
        <f t="shared" si="129"/>
        <v>5.0382810570511236E-2</v>
      </c>
      <c r="I502" s="32">
        <f t="shared" si="129"/>
        <v>5.1305334846765041E-2</v>
      </c>
      <c r="J502" s="32">
        <f t="shared" si="129"/>
        <v>5.1730844029560484E-2</v>
      </c>
      <c r="K502" s="32">
        <f t="shared" si="129"/>
        <v>4.0173913043478261E-2</v>
      </c>
    </row>
    <row r="503" spans="2:15">
      <c r="B503" t="s">
        <v>512</v>
      </c>
      <c r="C503" s="32">
        <f t="shared" ref="C503:K503" si="130">C492/C$496</f>
        <v>1.1310084825636193E-2</v>
      </c>
      <c r="D503" s="32">
        <f t="shared" si="130"/>
        <v>1.0894941634241245E-2</v>
      </c>
      <c r="E503" s="32">
        <f t="shared" si="130"/>
        <v>9.840674789128397E-3</v>
      </c>
      <c r="F503" s="32">
        <f t="shared" si="130"/>
        <v>1.0155966630395358E-2</v>
      </c>
      <c r="G503" s="32">
        <f t="shared" si="130"/>
        <v>9.5104895104895105E-3</v>
      </c>
      <c r="H503" s="32">
        <f t="shared" si="130"/>
        <v>9.3850333415658183E-3</v>
      </c>
      <c r="I503" s="32">
        <f t="shared" si="130"/>
        <v>8.3995459704880818E-3</v>
      </c>
      <c r="J503" s="32">
        <f t="shared" si="130"/>
        <v>7.5845974329054842E-3</v>
      </c>
      <c r="K503" s="32">
        <f t="shared" si="130"/>
        <v>7.3043478260869567E-3</v>
      </c>
    </row>
    <row r="504" spans="2:15">
      <c r="B504" t="s">
        <v>513</v>
      </c>
      <c r="C504" s="32">
        <f t="shared" ref="C504:K504" si="131">C493/C$496</f>
        <v>1.7907634307257305E-2</v>
      </c>
      <c r="D504" s="32">
        <f t="shared" si="131"/>
        <v>1.556420233463035E-2</v>
      </c>
      <c r="E504" s="32">
        <f t="shared" si="131"/>
        <v>1.7338331771321464E-2</v>
      </c>
      <c r="F504" s="32">
        <f t="shared" si="131"/>
        <v>1.922379397896264E-2</v>
      </c>
      <c r="G504" s="32">
        <f t="shared" si="131"/>
        <v>1.9860139860139861E-2</v>
      </c>
      <c r="H504" s="32">
        <f t="shared" si="131"/>
        <v>2.4203507038775007E-2</v>
      </c>
      <c r="I504" s="32">
        <f t="shared" si="131"/>
        <v>2.7468785471055617E-2</v>
      </c>
      <c r="J504" s="32">
        <f t="shared" si="131"/>
        <v>2.6837806301050177E-2</v>
      </c>
      <c r="K504" s="32">
        <f t="shared" si="131"/>
        <v>3.4782608695652174E-2</v>
      </c>
    </row>
    <row r="505" spans="2:15">
      <c r="B505" t="s">
        <v>514</v>
      </c>
      <c r="C505" s="32">
        <f t="shared" ref="C505:K505" si="132">C494/C$496</f>
        <v>0</v>
      </c>
      <c r="D505" s="32">
        <f t="shared" si="132"/>
        <v>0</v>
      </c>
      <c r="E505" s="32">
        <f t="shared" si="132"/>
        <v>0</v>
      </c>
      <c r="F505" s="32">
        <f t="shared" si="132"/>
        <v>0</v>
      </c>
      <c r="G505" s="32">
        <f t="shared" si="132"/>
        <v>0</v>
      </c>
      <c r="H505" s="32">
        <f t="shared" si="132"/>
        <v>0</v>
      </c>
      <c r="I505" s="32">
        <f t="shared" si="132"/>
        <v>0</v>
      </c>
      <c r="J505" s="32">
        <f t="shared" si="132"/>
        <v>0</v>
      </c>
      <c r="K505" s="32">
        <f t="shared" si="132"/>
        <v>0</v>
      </c>
    </row>
    <row r="506" spans="2:15">
      <c r="B506" s="21" t="s">
        <v>515</v>
      </c>
      <c r="C506" s="29">
        <f t="shared" ref="C506:K506" si="133">C495/C$496</f>
        <v>4.9952874646559849E-2</v>
      </c>
      <c r="D506" s="29">
        <f t="shared" si="133"/>
        <v>5.6031128404669263E-2</v>
      </c>
      <c r="E506" s="29">
        <f t="shared" si="133"/>
        <v>4.3580131208997189E-2</v>
      </c>
      <c r="F506" s="29">
        <f t="shared" si="133"/>
        <v>9.3579978237214367E-2</v>
      </c>
      <c r="G506" s="29">
        <f t="shared" si="133"/>
        <v>8.4195804195804191E-2</v>
      </c>
      <c r="H506" s="29">
        <f t="shared" si="133"/>
        <v>0.12916769572734008</v>
      </c>
      <c r="I506" s="29">
        <f t="shared" si="133"/>
        <v>0.13348467650397275</v>
      </c>
      <c r="J506" s="29">
        <f t="shared" si="133"/>
        <v>0.15947102294826915</v>
      </c>
      <c r="K506" s="29">
        <f t="shared" si="133"/>
        <v>0.20469565217391306</v>
      </c>
      <c r="M506" s="160">
        <f>MEDIAN(C506:K506)</f>
        <v>9.3579978237214367E-2</v>
      </c>
      <c r="N506" s="160">
        <f>AVERAGE(C506:K506)</f>
        <v>0.10601766267186</v>
      </c>
    </row>
    <row r="507" spans="2:15" ht="15" thickBot="1">
      <c r="B507" s="31" t="s">
        <v>519</v>
      </c>
      <c r="C507" s="78">
        <f t="shared" ref="C507:K507" si="134">C496/C$496</f>
        <v>1</v>
      </c>
      <c r="D507" s="78">
        <f t="shared" si="134"/>
        <v>1</v>
      </c>
      <c r="E507" s="78">
        <f t="shared" si="134"/>
        <v>1</v>
      </c>
      <c r="F507" s="78">
        <f t="shared" si="134"/>
        <v>1</v>
      </c>
      <c r="G507" s="78">
        <f t="shared" si="134"/>
        <v>1</v>
      </c>
      <c r="H507" s="78">
        <f t="shared" si="134"/>
        <v>1</v>
      </c>
      <c r="I507" s="78">
        <f t="shared" si="134"/>
        <v>1</v>
      </c>
      <c r="J507" s="78">
        <f t="shared" si="134"/>
        <v>1</v>
      </c>
      <c r="K507" s="78">
        <f t="shared" si="134"/>
        <v>1</v>
      </c>
    </row>
    <row r="509" spans="2:15">
      <c r="B509" s="14" t="s">
        <v>209</v>
      </c>
      <c r="C509" s="70">
        <v>2016</v>
      </c>
      <c r="D509" s="70">
        <v>2017</v>
      </c>
      <c r="E509" s="70">
        <v>2018</v>
      </c>
      <c r="F509" s="70">
        <v>2019</v>
      </c>
      <c r="G509" s="70">
        <v>2020</v>
      </c>
      <c r="H509" s="70">
        <v>2021</v>
      </c>
      <c r="I509" s="70">
        <v>2022</v>
      </c>
      <c r="J509" s="70">
        <v>2023</v>
      </c>
      <c r="K509" s="70">
        <v>2024</v>
      </c>
    </row>
    <row r="511" spans="2:15">
      <c r="B511" t="s">
        <v>520</v>
      </c>
      <c r="D511" s="229">
        <f>D479</f>
        <v>224</v>
      </c>
      <c r="E511" s="229">
        <f t="shared" ref="E511:K511" si="135">E479</f>
        <v>849</v>
      </c>
      <c r="F511" s="229">
        <f t="shared" si="135"/>
        <v>623</v>
      </c>
      <c r="G511" s="229">
        <f t="shared" si="135"/>
        <v>818</v>
      </c>
      <c r="H511" s="229">
        <f t="shared" si="135"/>
        <v>474</v>
      </c>
      <c r="I511" s="229">
        <f t="shared" si="135"/>
        <v>356</v>
      </c>
      <c r="J511" s="229">
        <f t="shared" si="135"/>
        <v>737</v>
      </c>
      <c r="K511" s="229">
        <f t="shared" si="135"/>
        <v>608</v>
      </c>
    </row>
    <row r="512" spans="2:15">
      <c r="B512" t="s">
        <v>523</v>
      </c>
      <c r="D512">
        <f>'P&amp;L'!D39</f>
        <v>154</v>
      </c>
      <c r="E512">
        <f>'P&amp;L'!E39</f>
        <v>223</v>
      </c>
      <c r="F512">
        <f>'P&amp;L'!F39</f>
        <v>300</v>
      </c>
      <c r="G512">
        <f>'P&amp;L'!G39</f>
        <v>382</v>
      </c>
      <c r="H512">
        <f>'P&amp;L'!H39</f>
        <v>451</v>
      </c>
      <c r="I512">
        <f>'P&amp;L'!I39</f>
        <v>452</v>
      </c>
      <c r="J512">
        <f>'P&amp;L'!J39</f>
        <v>526</v>
      </c>
      <c r="K512">
        <f>'P&amp;L'!K39</f>
        <v>598</v>
      </c>
    </row>
    <row r="514" spans="2:11">
      <c r="B514" s="25" t="s">
        <v>524</v>
      </c>
      <c r="C514" s="25"/>
      <c r="D514" s="25">
        <f>D512</f>
        <v>154</v>
      </c>
      <c r="E514" s="25">
        <f t="shared" ref="E514:K514" si="136">E512</f>
        <v>223</v>
      </c>
      <c r="F514" s="25">
        <f t="shared" si="136"/>
        <v>300</v>
      </c>
      <c r="G514" s="25">
        <f t="shared" si="136"/>
        <v>382</v>
      </c>
      <c r="H514" s="25">
        <f t="shared" si="136"/>
        <v>451</v>
      </c>
      <c r="I514" s="25">
        <f t="shared" si="136"/>
        <v>452</v>
      </c>
      <c r="J514" s="25">
        <f t="shared" si="136"/>
        <v>526</v>
      </c>
      <c r="K514" s="25">
        <f t="shared" si="136"/>
        <v>598</v>
      </c>
    </row>
    <row r="515" spans="2:11">
      <c r="B515" t="s">
        <v>525</v>
      </c>
      <c r="D515">
        <f>IF(D512&gt;D511,0,D511-D512)</f>
        <v>70</v>
      </c>
      <c r="E515">
        <f t="shared" ref="E515:K515" si="137">IF(E512&gt;E511,0,E511-E512)</f>
        <v>626</v>
      </c>
      <c r="F515">
        <f t="shared" si="137"/>
        <v>323</v>
      </c>
      <c r="G515">
        <f t="shared" si="137"/>
        <v>436</v>
      </c>
      <c r="H515">
        <f t="shared" si="137"/>
        <v>23</v>
      </c>
      <c r="I515">
        <f t="shared" si="137"/>
        <v>0</v>
      </c>
      <c r="J515">
        <f t="shared" si="137"/>
        <v>211</v>
      </c>
      <c r="K515">
        <f t="shared" si="137"/>
        <v>10</v>
      </c>
    </row>
    <row r="517" spans="2:11">
      <c r="B517" s="14" t="s">
        <v>527</v>
      </c>
      <c r="C517" s="122" t="s">
        <v>493</v>
      </c>
    </row>
    <row r="519" spans="2:11">
      <c r="B519" s="14" t="s">
        <v>409</v>
      </c>
      <c r="H519" s="166" t="s">
        <v>398</v>
      </c>
      <c r="I519" s="166"/>
    </row>
    <row r="520" spans="2:11">
      <c r="H520" t="s">
        <v>528</v>
      </c>
    </row>
    <row r="529" spans="2:8">
      <c r="H529" t="s">
        <v>529</v>
      </c>
    </row>
    <row r="535" spans="2:8">
      <c r="B535" s="14" t="s">
        <v>296</v>
      </c>
    </row>
    <row r="538" spans="2:8">
      <c r="H538" t="s">
        <v>530</v>
      </c>
    </row>
    <row r="539" spans="2:8">
      <c r="H539" t="s">
        <v>531</v>
      </c>
    </row>
    <row r="550" spans="2:22">
      <c r="B550" s="434" t="s">
        <v>27</v>
      </c>
      <c r="C550" s="434"/>
      <c r="D550" s="434"/>
      <c r="E550" s="434"/>
      <c r="F550" s="434"/>
      <c r="G550" s="434"/>
      <c r="H550" s="434"/>
      <c r="I550" s="434"/>
      <c r="J550" s="434"/>
      <c r="K550" s="434"/>
      <c r="L550" s="426" t="s">
        <v>543</v>
      </c>
      <c r="M550" s="426"/>
      <c r="N550" s="426"/>
      <c r="O550" s="426"/>
      <c r="P550" s="426"/>
      <c r="Q550" s="426"/>
    </row>
    <row r="551" spans="2:22">
      <c r="B551" s="14" t="s">
        <v>209</v>
      </c>
      <c r="C551" s="70">
        <v>2016</v>
      </c>
      <c r="D551" s="70">
        <v>2017</v>
      </c>
      <c r="E551" s="70">
        <v>2018</v>
      </c>
      <c r="F551" s="70">
        <v>2019</v>
      </c>
      <c r="G551" s="70">
        <v>2020</v>
      </c>
      <c r="H551" s="70">
        <v>2021</v>
      </c>
      <c r="I551" s="70">
        <v>2022</v>
      </c>
      <c r="J551" s="70">
        <v>2023</v>
      </c>
      <c r="K551" s="70">
        <v>2024</v>
      </c>
      <c r="L551" s="70">
        <f>K551+1</f>
        <v>2025</v>
      </c>
      <c r="M551" s="70">
        <f t="shared" ref="M551:P551" si="138">L551+1</f>
        <v>2026</v>
      </c>
      <c r="N551" s="70">
        <f t="shared" si="138"/>
        <v>2027</v>
      </c>
      <c r="O551" s="70">
        <f t="shared" si="138"/>
        <v>2028</v>
      </c>
      <c r="P551" s="70">
        <f t="shared" si="138"/>
        <v>2029</v>
      </c>
      <c r="Q551" s="70">
        <f>P551+1</f>
        <v>2030</v>
      </c>
      <c r="R551" s="70">
        <f t="shared" ref="R551:V551" si="139">Q551+1</f>
        <v>2031</v>
      </c>
      <c r="S551" s="70">
        <f t="shared" si="139"/>
        <v>2032</v>
      </c>
      <c r="T551" s="70">
        <f t="shared" si="139"/>
        <v>2033</v>
      </c>
      <c r="U551" s="70">
        <f t="shared" si="139"/>
        <v>2034</v>
      </c>
      <c r="V551" s="70">
        <f t="shared" si="139"/>
        <v>2035</v>
      </c>
    </row>
    <row r="552" spans="2:22">
      <c r="B552" s="97" t="s">
        <v>440</v>
      </c>
      <c r="C552" s="98">
        <v>1061</v>
      </c>
      <c r="D552" s="98">
        <v>1285</v>
      </c>
      <c r="E552" s="98">
        <v>2134</v>
      </c>
      <c r="F552" s="98">
        <v>2757</v>
      </c>
      <c r="G552" s="98">
        <v>3575</v>
      </c>
      <c r="H552" s="98">
        <v>4049</v>
      </c>
      <c r="I552" s="98">
        <v>4405</v>
      </c>
      <c r="J552" s="98">
        <v>5142</v>
      </c>
      <c r="K552" s="98">
        <v>5750</v>
      </c>
      <c r="L552" s="208">
        <f>K552*(1+$M$477)</f>
        <v>6837.9904433420597</v>
      </c>
      <c r="M552" s="208">
        <f>L552+1250</f>
        <v>8087.9904433420597</v>
      </c>
      <c r="N552" s="208">
        <f>M552+E561</f>
        <v>9104.0461428446815</v>
      </c>
      <c r="O552" s="208">
        <f>N552+F561</f>
        <v>10036.426667094145</v>
      </c>
      <c r="P552" s="208">
        <f>O552+G561</f>
        <v>10802.532664519122</v>
      </c>
      <c r="Q552" s="208">
        <f>P552+H561</f>
        <v>11324.013091731847</v>
      </c>
      <c r="R552" s="208">
        <f t="shared" ref="R552:V552" si="140">Q552+I561</f>
        <v>11830.718240173546</v>
      </c>
      <c r="S552" s="208">
        <f t="shared" si="140"/>
        <v>12316.694541633538</v>
      </c>
      <c r="T552" s="208">
        <f t="shared" si="140"/>
        <v>12775.942146513229</v>
      </c>
      <c r="U552" s="208">
        <f t="shared" si="140"/>
        <v>13229.194018773658</v>
      </c>
      <c r="V552" s="208">
        <f t="shared" si="140"/>
        <v>13673.914091085657</v>
      </c>
    </row>
    <row r="553" spans="2:22">
      <c r="B553" s="231" t="s">
        <v>441</v>
      </c>
      <c r="C553" s="96">
        <v>271</v>
      </c>
      <c r="D553" s="96">
        <v>416</v>
      </c>
      <c r="E553" s="96">
        <v>636</v>
      </c>
      <c r="F553" s="96">
        <v>886</v>
      </c>
      <c r="G553" s="98">
        <v>1201</v>
      </c>
      <c r="H553" s="98">
        <v>1616</v>
      </c>
      <c r="I553" s="98">
        <v>1981</v>
      </c>
      <c r="J553" s="98">
        <v>2452</v>
      </c>
      <c r="K553" s="98">
        <v>2836</v>
      </c>
      <c r="L553" s="229">
        <f>L552-L554</f>
        <v>2982.9904433420597</v>
      </c>
      <c r="M553" s="229">
        <f>L553+Schedules!J72</f>
        <v>3834.101554453171</v>
      </c>
      <c r="N553" s="229">
        <f>N552*$C$556</f>
        <v>3345.987079884299</v>
      </c>
      <c r="O553" s="229">
        <f>O552*$C$556</f>
        <v>3688.6625385457655</v>
      </c>
      <c r="P553" s="229">
        <f>P552*$C$556</f>
        <v>3970.227540412604</v>
      </c>
      <c r="Q553" s="229">
        <f>Q552*$C$556</f>
        <v>4161.8859244419618</v>
      </c>
      <c r="R553" s="229">
        <f t="shared" ref="R553:V553" si="141">R552*$C$556</f>
        <v>4348.1139875904892</v>
      </c>
      <c r="S553" s="229">
        <f t="shared" si="141"/>
        <v>4526.7236299738479</v>
      </c>
      <c r="T553" s="229">
        <f t="shared" si="141"/>
        <v>4695.5097420261218</v>
      </c>
      <c r="U553" s="229">
        <f t="shared" si="141"/>
        <v>4862.0922576154917</v>
      </c>
      <c r="V553" s="229">
        <f t="shared" si="141"/>
        <v>5025.5391023231796</v>
      </c>
    </row>
    <row r="554" spans="2:22" ht="15" thickBot="1">
      <c r="B554" s="31" t="s">
        <v>504</v>
      </c>
      <c r="C554" s="232">
        <f>C552-C553</f>
        <v>790</v>
      </c>
      <c r="D554" s="232">
        <f t="shared" ref="D554:K554" si="142">D552-D553</f>
        <v>869</v>
      </c>
      <c r="E554" s="232">
        <f t="shared" si="142"/>
        <v>1498</v>
      </c>
      <c r="F554" s="232">
        <f t="shared" si="142"/>
        <v>1871</v>
      </c>
      <c r="G554" s="232">
        <f t="shared" si="142"/>
        <v>2374</v>
      </c>
      <c r="H554" s="232">
        <f t="shared" si="142"/>
        <v>2433</v>
      </c>
      <c r="I554" s="232">
        <f t="shared" si="142"/>
        <v>2424</v>
      </c>
      <c r="J554" s="232">
        <f t="shared" si="142"/>
        <v>2690</v>
      </c>
      <c r="K554" s="232">
        <f t="shared" si="142"/>
        <v>2914</v>
      </c>
      <c r="L554" s="232">
        <v>3855</v>
      </c>
      <c r="M554" s="232">
        <f>M552-M553</f>
        <v>4253.8888888888887</v>
      </c>
      <c r="N554" s="232">
        <f t="shared" ref="N554:Q554" si="143">N552-N553</f>
        <v>5758.059062960383</v>
      </c>
      <c r="O554" s="232">
        <f t="shared" si="143"/>
        <v>6347.7641285483796</v>
      </c>
      <c r="P554" s="232">
        <f t="shared" si="143"/>
        <v>6832.3051241065177</v>
      </c>
      <c r="Q554" s="232">
        <f t="shared" si="143"/>
        <v>7162.1271672898856</v>
      </c>
      <c r="R554" s="232">
        <f t="shared" ref="R554:V554" si="144">R552-R553</f>
        <v>7482.6042525830571</v>
      </c>
      <c r="S554" s="232">
        <f t="shared" si="144"/>
        <v>7789.9709116596905</v>
      </c>
      <c r="T554" s="232">
        <f t="shared" si="144"/>
        <v>8080.4324044871073</v>
      </c>
      <c r="U554" s="232">
        <f t="shared" si="144"/>
        <v>8367.1017611581665</v>
      </c>
      <c r="V554" s="232">
        <f t="shared" si="144"/>
        <v>8648.3749887624763</v>
      </c>
    </row>
    <row r="555" spans="2:22">
      <c r="B555" s="40" t="s">
        <v>563</v>
      </c>
      <c r="C555" s="254">
        <f>C553/C552</f>
        <v>0.25541941564561732</v>
      </c>
      <c r="D555" s="254">
        <f t="shared" ref="D555:L555" si="145">D553/D552</f>
        <v>0.3237354085603113</v>
      </c>
      <c r="E555" s="254">
        <f t="shared" si="145"/>
        <v>0.29803186504217433</v>
      </c>
      <c r="F555" s="254">
        <f t="shared" si="145"/>
        <v>0.3213638012332245</v>
      </c>
      <c r="G555" s="254">
        <f t="shared" si="145"/>
        <v>0.33594405594405596</v>
      </c>
      <c r="H555" s="254">
        <f t="shared" si="145"/>
        <v>0.39911089157816743</v>
      </c>
      <c r="I555" s="254">
        <f t="shared" si="145"/>
        <v>0.44971623155505108</v>
      </c>
      <c r="J555" s="254">
        <f t="shared" si="145"/>
        <v>0.47685725398677559</v>
      </c>
      <c r="K555" s="254">
        <f t="shared" si="145"/>
        <v>0.49321739130434783</v>
      </c>
      <c r="L555" s="254">
        <f t="shared" si="145"/>
        <v>0.43623787837353672</v>
      </c>
      <c r="M555" s="230"/>
      <c r="N555" s="230"/>
      <c r="O555" s="230"/>
      <c r="P555" s="230"/>
      <c r="Q555" s="230"/>
      <c r="R555" s="230"/>
      <c r="S555" s="230"/>
      <c r="T555" s="230"/>
      <c r="U555" s="230"/>
      <c r="V555" s="230"/>
    </row>
    <row r="556" spans="2:22">
      <c r="B556" s="20" t="s">
        <v>430</v>
      </c>
      <c r="C556" s="255">
        <f>MEDIAN(C555:L555)</f>
        <v>0.36752747376111172</v>
      </c>
      <c r="K556" s="229"/>
    </row>
    <row r="557" spans="2:22">
      <c r="B557" s="40" t="s">
        <v>564</v>
      </c>
      <c r="C557" s="92">
        <f t="shared" ref="C557:K557" si="146">C554/C472</f>
        <v>0.12797667260651224</v>
      </c>
      <c r="D557" s="92">
        <f t="shared" si="146"/>
        <v>0.12356035831082042</v>
      </c>
      <c r="E557" s="92">
        <f t="shared" si="146"/>
        <v>0.16709425543781373</v>
      </c>
      <c r="F557" s="92">
        <f t="shared" si="146"/>
        <v>0.19097682964172705</v>
      </c>
      <c r="G557" s="92">
        <f t="shared" si="146"/>
        <v>0.25934017915665281</v>
      </c>
      <c r="H557" s="92">
        <f t="shared" si="146"/>
        <v>0.27901376146788992</v>
      </c>
      <c r="I557" s="92">
        <f t="shared" si="146"/>
        <v>0.23538551174985434</v>
      </c>
      <c r="J557" s="92">
        <f t="shared" si="146"/>
        <v>0.18626229054147625</v>
      </c>
      <c r="K557" s="92">
        <f t="shared" si="146"/>
        <v>0.17622157716497339</v>
      </c>
      <c r="L557" s="92">
        <f>L554/Schedules!I11</f>
        <v>0.20428296646974106</v>
      </c>
      <c r="M557" s="92">
        <f>M554/Schedules!J11</f>
        <v>0.19601805475777206</v>
      </c>
      <c r="N557" s="92">
        <f>N554/Schedules!K11</f>
        <v>0.22677761660056744</v>
      </c>
      <c r="O557" s="92">
        <f>O554/Schedules!L11</f>
        <v>0.22059069538698231</v>
      </c>
      <c r="P557" s="92">
        <f>P554/Schedules!M11</f>
        <v>0.21650055750262137</v>
      </c>
      <c r="Q557" s="92">
        <f>Q554/Schedules!N11</f>
        <v>0.21410555158464814</v>
      </c>
      <c r="R557" s="92">
        <f>R554/Schedules!O11</f>
        <v>0.21202458277756236</v>
      </c>
      <c r="S557" s="92">
        <f>S554/Schedules!P11</f>
        <v>0.21022287818268293</v>
      </c>
      <c r="T557" s="92">
        <f>T554/Schedules!Q11</f>
        <v>0.20867117087608819</v>
      </c>
      <c r="U557" s="92">
        <f>U554/Schedules!R11</f>
        <v>0.2072654141901244</v>
      </c>
      <c r="V557" s="92">
        <f>V554/Schedules!S11</f>
        <v>0.20599323619377705</v>
      </c>
    </row>
    <row r="558" spans="2:22">
      <c r="D558" s="91"/>
      <c r="K558" s="91"/>
    </row>
    <row r="559" spans="2:22">
      <c r="B559" s="14" t="s">
        <v>209</v>
      </c>
      <c r="C559" s="70">
        <v>2025</v>
      </c>
      <c r="D559" s="70">
        <f>C559+1</f>
        <v>2026</v>
      </c>
      <c r="E559" s="70">
        <f t="shared" ref="E559:H559" si="147">D559+1</f>
        <v>2027</v>
      </c>
      <c r="F559" s="70">
        <f t="shared" si="147"/>
        <v>2028</v>
      </c>
      <c r="G559" s="70">
        <f t="shared" si="147"/>
        <v>2029</v>
      </c>
      <c r="H559" s="70">
        <f t="shared" si="147"/>
        <v>2030</v>
      </c>
      <c r="I559" s="70">
        <f t="shared" ref="I559" si="148">H559+1</f>
        <v>2031</v>
      </c>
      <c r="J559" s="70">
        <f t="shared" ref="J559" si="149">I559+1</f>
        <v>2032</v>
      </c>
      <c r="K559" s="70">
        <f t="shared" ref="K559" si="150">J559+1</f>
        <v>2033</v>
      </c>
      <c r="L559" s="70">
        <f t="shared" ref="L559" si="151">K559+1</f>
        <v>2034</v>
      </c>
      <c r="M559" s="70">
        <f t="shared" ref="M559" si="152">L559+1</f>
        <v>2035</v>
      </c>
    </row>
    <row r="560" spans="2:22">
      <c r="B560" t="s">
        <v>568</v>
      </c>
      <c r="C560" s="208">
        <f>'3 Statement Model'!I10</f>
        <v>18870.8832</v>
      </c>
      <c r="D560" s="208">
        <f>'3 Statement Model'!J10-'3 Statement Model'!I10</f>
        <v>2830.6324799999966</v>
      </c>
      <c r="E560" s="208">
        <f>'3 Statement Model'!K10-'3 Statement Model'!J10</f>
        <v>3689.2576655999983</v>
      </c>
      <c r="F560" s="208">
        <f>'3 Statement Model'!L10-'3 Statement Model'!K10</f>
        <v>3385.4364460799989</v>
      </c>
      <c r="G560" s="208">
        <f>'3 Statement Model'!M10-'3 Statement Model'!L10</f>
        <v>2781.700279862398</v>
      </c>
      <c r="H560" s="208">
        <f>'3 Statement Model'!N10-'3 Statement Model'!M10</f>
        <v>1893.4746042925472</v>
      </c>
      <c r="I560" s="208">
        <f>'3 Statement Model'!O10-'3 Statement Model'!N10</f>
        <v>1839.8261571709227</v>
      </c>
      <c r="J560" s="208">
        <f>'3 Statement Model'!P10-'3 Statement Model'!O10</f>
        <v>1764.5605416502949</v>
      </c>
      <c r="K560" s="208">
        <f>'3 Statement Model'!Q10-'3 Statement Model'!P10</f>
        <v>1667.5097118595222</v>
      </c>
      <c r="L560" s="208">
        <f>'3 Statement Model'!R10-'3 Statement Model'!Q10</f>
        <v>1645.7394461769145</v>
      </c>
      <c r="M560" s="208">
        <f>'3 Statement Model'!S10-'3 Statement Model'!R10</f>
        <v>1614.7608213077037</v>
      </c>
    </row>
    <row r="561" spans="2:15">
      <c r="B561" t="s">
        <v>569</v>
      </c>
      <c r="C561">
        <v>1028</v>
      </c>
      <c r="D561" s="208">
        <f>M552-L552</f>
        <v>1250</v>
      </c>
      <c r="E561" s="208">
        <f>E560*$M$567</f>
        <v>1016.055699502621</v>
      </c>
      <c r="F561" s="208">
        <f t="shared" ref="F561:H561" si="153">F560*$M$567</f>
        <v>932.38052424946409</v>
      </c>
      <c r="G561" s="208">
        <f t="shared" si="153"/>
        <v>766.10599742497607</v>
      </c>
      <c r="H561" s="208">
        <f t="shared" si="153"/>
        <v>521.48042721272634</v>
      </c>
      <c r="I561" s="208">
        <f t="shared" ref="I561:M561" si="154">I560*$M$567</f>
        <v>506.70514844169844</v>
      </c>
      <c r="J561" s="208">
        <f t="shared" si="154"/>
        <v>485.97630145999284</v>
      </c>
      <c r="K561" s="208">
        <f t="shared" si="154"/>
        <v>459.24760487969144</v>
      </c>
      <c r="L561" s="208">
        <f t="shared" si="154"/>
        <v>453.25187226042954</v>
      </c>
      <c r="M561" s="208">
        <f t="shared" si="154"/>
        <v>444.72007231199842</v>
      </c>
    </row>
    <row r="562" spans="2:15">
      <c r="D562" s="91"/>
      <c r="K562" s="91"/>
    </row>
    <row r="563" spans="2:15">
      <c r="B563" s="14" t="s">
        <v>209</v>
      </c>
      <c r="C563" s="70">
        <v>2016</v>
      </c>
      <c r="D563" s="70">
        <v>2017</v>
      </c>
      <c r="E563" s="70">
        <v>2018</v>
      </c>
      <c r="F563" s="70">
        <v>2019</v>
      </c>
      <c r="G563" s="70">
        <v>2020</v>
      </c>
      <c r="H563" s="70">
        <v>2021</v>
      </c>
      <c r="I563" s="70">
        <v>2022</v>
      </c>
      <c r="J563" s="70">
        <v>2023</v>
      </c>
      <c r="K563" s="70">
        <v>2024</v>
      </c>
    </row>
    <row r="564" spans="2:15">
      <c r="B564" t="s">
        <v>565</v>
      </c>
      <c r="C564">
        <f>'P&amp;L'!C3</f>
        <v>6173</v>
      </c>
      <c r="D564">
        <f>'P&amp;L'!D3</f>
        <v>7033</v>
      </c>
      <c r="E564">
        <f>'P&amp;L'!E3</f>
        <v>8965</v>
      </c>
      <c r="F564">
        <f>'P&amp;L'!F3</f>
        <v>9797</v>
      </c>
      <c r="G564">
        <f>'P&amp;L'!G3</f>
        <v>9154</v>
      </c>
      <c r="H564">
        <f>'P&amp;L'!H3</f>
        <v>8720</v>
      </c>
      <c r="I564">
        <f>'P&amp;L'!I3</f>
        <v>10298</v>
      </c>
      <c r="J564">
        <f>'P&amp;L'!J3</f>
        <v>14442</v>
      </c>
      <c r="K564">
        <f>'P&amp;L'!K3</f>
        <v>16536</v>
      </c>
    </row>
    <row r="565" spans="2:15">
      <c r="B565" t="s">
        <v>215</v>
      </c>
      <c r="D565">
        <f>D564-C564</f>
        <v>860</v>
      </c>
      <c r="E565">
        <f t="shared" ref="E565:K565" si="155">E564-D564</f>
        <v>1932</v>
      </c>
      <c r="F565">
        <f t="shared" si="155"/>
        <v>832</v>
      </c>
      <c r="G565">
        <f t="shared" si="155"/>
        <v>-643</v>
      </c>
      <c r="H565">
        <f t="shared" si="155"/>
        <v>-434</v>
      </c>
      <c r="I565">
        <f t="shared" si="155"/>
        <v>1578</v>
      </c>
      <c r="J565">
        <f t="shared" si="155"/>
        <v>4144</v>
      </c>
      <c r="K565">
        <f t="shared" si="155"/>
        <v>2094</v>
      </c>
    </row>
    <row r="566" spans="2:15">
      <c r="B566" t="s">
        <v>571</v>
      </c>
      <c r="D566" s="208">
        <f t="shared" ref="D566:K566" si="156">D552-C552</f>
        <v>224</v>
      </c>
      <c r="E566" s="208">
        <f t="shared" si="156"/>
        <v>849</v>
      </c>
      <c r="F566" s="208">
        <f t="shared" si="156"/>
        <v>623</v>
      </c>
      <c r="G566" s="208">
        <f t="shared" si="156"/>
        <v>818</v>
      </c>
      <c r="H566" s="208">
        <f t="shared" si="156"/>
        <v>474</v>
      </c>
      <c r="I566" s="208">
        <f t="shared" si="156"/>
        <v>356</v>
      </c>
      <c r="J566" s="208">
        <f t="shared" si="156"/>
        <v>737</v>
      </c>
      <c r="K566" s="208">
        <f t="shared" si="156"/>
        <v>608</v>
      </c>
      <c r="M566" s="437" t="s">
        <v>567</v>
      </c>
      <c r="N566" s="437"/>
      <c r="O566" s="437"/>
    </row>
    <row r="567" spans="2:15">
      <c r="B567" s="40" t="s">
        <v>566</v>
      </c>
      <c r="C567" s="40"/>
      <c r="D567" s="257">
        <f>D566/D565</f>
        <v>0.26046511627906976</v>
      </c>
      <c r="E567" s="257">
        <f t="shared" ref="E567:K567" si="157">E566/E565</f>
        <v>0.4394409937888199</v>
      </c>
      <c r="F567" s="257">
        <f t="shared" si="157"/>
        <v>0.74879807692307687</v>
      </c>
      <c r="G567" s="256">
        <f t="shared" si="157"/>
        <v>-1.2721617418351479</v>
      </c>
      <c r="H567" s="256">
        <f t="shared" si="157"/>
        <v>-1.0921658986175116</v>
      </c>
      <c r="I567" s="257">
        <f t="shared" si="157"/>
        <v>0.2256020278833967</v>
      </c>
      <c r="J567" s="257">
        <f t="shared" si="157"/>
        <v>0.17784749034749034</v>
      </c>
      <c r="K567" s="257">
        <f t="shared" si="157"/>
        <v>0.2903533906399236</v>
      </c>
      <c r="M567" s="436">
        <f>MEDIAN(I567:K567,D567:F567)</f>
        <v>0.27540925345949668</v>
      </c>
      <c r="N567" s="436"/>
      <c r="O567" s="436"/>
    </row>
    <row r="568" spans="2:15">
      <c r="D568" s="91"/>
      <c r="E568" s="91"/>
      <c r="F568" s="91"/>
      <c r="G568" s="91"/>
      <c r="H568" s="91"/>
      <c r="I568" s="91"/>
      <c r="J568" s="91"/>
      <c r="K568" s="91"/>
      <c r="M568" s="91"/>
    </row>
    <row r="569" spans="2:15">
      <c r="D569" s="91"/>
      <c r="E569" s="91"/>
      <c r="F569" s="91"/>
      <c r="G569" s="91"/>
      <c r="H569" s="91"/>
      <c r="I569" s="91"/>
      <c r="J569" s="91"/>
      <c r="K569" s="91"/>
      <c r="M569" s="91"/>
    </row>
    <row r="570" spans="2:15">
      <c r="B570" s="169" t="s">
        <v>985</v>
      </c>
      <c r="D570" s="91"/>
      <c r="E570" s="91"/>
      <c r="F570" s="91"/>
      <c r="G570" s="91"/>
      <c r="H570" s="91"/>
      <c r="I570" s="91"/>
      <c r="J570" s="91"/>
      <c r="K570" s="91"/>
      <c r="M570" s="91"/>
    </row>
    <row r="571" spans="2:15">
      <c r="D571" s="91"/>
      <c r="E571" s="91"/>
      <c r="F571" s="91"/>
      <c r="G571" s="91"/>
      <c r="H571" s="91"/>
      <c r="I571" s="91"/>
      <c r="J571" s="91"/>
      <c r="K571" s="91"/>
      <c r="M571" s="91"/>
    </row>
    <row r="572" spans="2:15">
      <c r="D572" s="91"/>
      <c r="E572" s="91"/>
      <c r="F572" s="91"/>
      <c r="G572" s="91"/>
      <c r="H572" s="91"/>
      <c r="I572" s="91"/>
      <c r="J572" s="91"/>
      <c r="K572" s="91"/>
      <c r="M572" s="91"/>
    </row>
    <row r="573" spans="2:15">
      <c r="D573" s="91"/>
      <c r="E573" s="91"/>
      <c r="F573" s="91"/>
      <c r="G573" s="91"/>
      <c r="H573" s="91"/>
      <c r="I573" s="91"/>
      <c r="J573" s="91"/>
      <c r="K573" s="91"/>
      <c r="M573" s="91"/>
    </row>
    <row r="574" spans="2:15">
      <c r="D574" s="91"/>
      <c r="E574" s="91"/>
      <c r="F574" s="91"/>
      <c r="G574" s="91"/>
      <c r="H574" s="91"/>
      <c r="I574" s="91"/>
      <c r="J574" s="91"/>
      <c r="K574" s="91"/>
      <c r="M574" s="91"/>
    </row>
    <row r="575" spans="2:15">
      <c r="D575" s="91"/>
      <c r="E575" s="91"/>
      <c r="F575" s="91"/>
      <c r="G575" s="91"/>
      <c r="H575" s="91"/>
      <c r="I575" s="91"/>
      <c r="J575" s="91"/>
      <c r="K575" s="91"/>
      <c r="M575" s="91"/>
    </row>
    <row r="576" spans="2:15">
      <c r="D576" s="91"/>
      <c r="E576" s="91"/>
      <c r="F576" s="91"/>
      <c r="G576" s="91"/>
      <c r="H576" s="91"/>
      <c r="I576" s="91"/>
      <c r="J576" s="91"/>
      <c r="K576" s="91"/>
      <c r="M576" s="91"/>
    </row>
    <row r="577" spans="1:14">
      <c r="D577" s="91"/>
      <c r="E577" s="91"/>
      <c r="F577" s="91"/>
      <c r="G577" s="91"/>
      <c r="H577" s="91"/>
      <c r="I577" s="91"/>
      <c r="J577" s="91"/>
      <c r="K577" s="91"/>
      <c r="M577" s="91"/>
    </row>
    <row r="578" spans="1:14">
      <c r="D578" s="91"/>
      <c r="E578" s="91"/>
      <c r="F578" s="91"/>
      <c r="G578" s="91"/>
      <c r="H578" s="91"/>
      <c r="I578" s="91"/>
      <c r="J578" s="91"/>
      <c r="K578" s="91"/>
      <c r="M578" s="91"/>
    </row>
    <row r="579" spans="1:14">
      <c r="D579" s="91"/>
      <c r="E579" s="91"/>
      <c r="F579" s="91"/>
      <c r="G579" s="91"/>
      <c r="H579" s="91"/>
      <c r="I579" s="91"/>
      <c r="J579" s="91"/>
      <c r="K579" s="91"/>
      <c r="M579" s="91"/>
    </row>
    <row r="580" spans="1:14" ht="18">
      <c r="A580" s="159" t="s">
        <v>29</v>
      </c>
      <c r="B580" s="157" t="s">
        <v>532</v>
      </c>
    </row>
    <row r="582" spans="1:14">
      <c r="B582" s="14" t="s">
        <v>533</v>
      </c>
      <c r="C582" s="70">
        <v>2016</v>
      </c>
      <c r="D582" s="70">
        <v>2017</v>
      </c>
      <c r="E582" s="70">
        <v>2018</v>
      </c>
      <c r="F582" s="70">
        <v>2019</v>
      </c>
      <c r="G582" s="70">
        <v>2020</v>
      </c>
      <c r="H582" s="70">
        <v>2021</v>
      </c>
      <c r="I582" s="70">
        <v>2022</v>
      </c>
      <c r="J582" s="70">
        <v>2023</v>
      </c>
      <c r="K582" s="70">
        <v>2024</v>
      </c>
      <c r="M582" s="14" t="s">
        <v>430</v>
      </c>
      <c r="N582" s="14" t="s">
        <v>361</v>
      </c>
    </row>
    <row r="583" spans="1:14">
      <c r="B583" t="s">
        <v>43</v>
      </c>
      <c r="C583" s="229">
        <f>'P&amp;L'!C3</f>
        <v>6173</v>
      </c>
      <c r="D583" s="229">
        <f>'P&amp;L'!D3</f>
        <v>7033</v>
      </c>
      <c r="E583" s="229">
        <f>'P&amp;L'!E3</f>
        <v>8965</v>
      </c>
      <c r="F583" s="229">
        <f>'P&amp;L'!F3</f>
        <v>9797</v>
      </c>
      <c r="G583" s="229">
        <f>'P&amp;L'!G3</f>
        <v>9154</v>
      </c>
      <c r="H583" s="229">
        <f>'P&amp;L'!H3</f>
        <v>8720</v>
      </c>
      <c r="I583" s="229">
        <f>'P&amp;L'!I3</f>
        <v>10298</v>
      </c>
      <c r="J583" s="229">
        <f>'P&amp;L'!J3</f>
        <v>14442</v>
      </c>
      <c r="K583" s="229">
        <f>'P&amp;L'!K3</f>
        <v>16536</v>
      </c>
    </row>
    <row r="584" spans="1:14">
      <c r="B584" t="s">
        <v>533</v>
      </c>
      <c r="C584" s="229">
        <f>BS!C15</f>
        <v>183.39999999999964</v>
      </c>
      <c r="D584" s="229">
        <f>BS!D15</f>
        <v>204.30000000000018</v>
      </c>
      <c r="E584" s="229">
        <f>BS!E15</f>
        <v>284.5</v>
      </c>
      <c r="F584" s="229">
        <f>BS!F15</f>
        <v>272.39999999999964</v>
      </c>
      <c r="G584" s="229">
        <f>BS!G15</f>
        <v>289.60000000000036</v>
      </c>
      <c r="H584" s="229">
        <f>BS!H15</f>
        <v>276</v>
      </c>
      <c r="I584" s="229">
        <f>BS!I15</f>
        <v>456.89999999999964</v>
      </c>
      <c r="J584" s="229">
        <f>BS!J15</f>
        <v>442.20000000000073</v>
      </c>
      <c r="K584" s="229">
        <f>BS!K15</f>
        <v>2244.7999999999993</v>
      </c>
    </row>
    <row r="586" spans="1:14">
      <c r="B586" s="40" t="s">
        <v>534</v>
      </c>
      <c r="C586" s="202">
        <f>C584/C583</f>
        <v>2.971002753928392E-2</v>
      </c>
      <c r="D586" s="202">
        <f t="shared" ref="D586:K586" si="158">D584/D583</f>
        <v>2.9048770083890257E-2</v>
      </c>
      <c r="E586" s="202">
        <f t="shared" si="158"/>
        <v>3.1734523145566088E-2</v>
      </c>
      <c r="F586" s="202">
        <f t="shared" si="158"/>
        <v>2.7804429927528799E-2</v>
      </c>
      <c r="G586" s="202">
        <f t="shared" si="158"/>
        <v>3.163644308499021E-2</v>
      </c>
      <c r="H586" s="202">
        <f t="shared" si="158"/>
        <v>3.1651376146788993E-2</v>
      </c>
      <c r="I586" s="202">
        <f t="shared" si="158"/>
        <v>4.4367838415226221E-2</v>
      </c>
      <c r="J586" s="202">
        <f t="shared" si="158"/>
        <v>3.0619027835479901E-2</v>
      </c>
      <c r="K586" s="202">
        <f t="shared" si="158"/>
        <v>0.13575229801644892</v>
      </c>
      <c r="M586" s="160">
        <f>MEDIAN(C586:K586)</f>
        <v>3.163644308499021E-2</v>
      </c>
      <c r="N586" s="160">
        <f>AVERAGE(C586:K586)</f>
        <v>4.359163713280037E-2</v>
      </c>
    </row>
    <row r="588" spans="1:14">
      <c r="B588" s="14" t="s">
        <v>539</v>
      </c>
      <c r="C588" s="70">
        <v>2016</v>
      </c>
      <c r="D588" s="70">
        <v>2017</v>
      </c>
      <c r="E588" s="70">
        <v>2018</v>
      </c>
      <c r="F588" s="70">
        <v>2019</v>
      </c>
      <c r="G588" s="70">
        <v>2020</v>
      </c>
      <c r="H588" s="70">
        <v>2021</v>
      </c>
      <c r="I588" s="70">
        <v>2022</v>
      </c>
      <c r="J588" s="70">
        <v>2023</v>
      </c>
      <c r="K588" s="70">
        <v>2024</v>
      </c>
      <c r="M588" s="14" t="s">
        <v>430</v>
      </c>
      <c r="N588" s="14" t="s">
        <v>361</v>
      </c>
    </row>
    <row r="589" spans="1:14">
      <c r="B589" t="s">
        <v>43</v>
      </c>
      <c r="C589" s="229">
        <f>'P&amp;L'!C3</f>
        <v>6173</v>
      </c>
      <c r="D589" s="229">
        <f>'P&amp;L'!D3</f>
        <v>7033</v>
      </c>
      <c r="E589" s="229">
        <f>'P&amp;L'!E3</f>
        <v>8965</v>
      </c>
      <c r="F589" s="229">
        <f>'P&amp;L'!F3</f>
        <v>9797</v>
      </c>
      <c r="G589" s="229">
        <f>'P&amp;L'!G3</f>
        <v>9154</v>
      </c>
      <c r="H589" s="229">
        <f>'P&amp;L'!H3</f>
        <v>8720</v>
      </c>
      <c r="I589" s="229">
        <f>'P&amp;L'!I3</f>
        <v>10298</v>
      </c>
      <c r="J589" s="229">
        <f>'P&amp;L'!J3</f>
        <v>14442</v>
      </c>
      <c r="K589" s="229">
        <f>'P&amp;L'!K3</f>
        <v>16536</v>
      </c>
    </row>
    <row r="590" spans="1:14">
      <c r="B590" t="s">
        <v>539</v>
      </c>
      <c r="C590" s="229">
        <f ca="1">BS!C11</f>
        <v>2801</v>
      </c>
      <c r="D590" s="229">
        <f ca="1">BS!D11</f>
        <v>4104</v>
      </c>
      <c r="E590" s="229">
        <f ca="1">BS!E11</f>
        <v>4947</v>
      </c>
      <c r="F590" s="229">
        <f ca="1">BS!F11</f>
        <v>4454</v>
      </c>
      <c r="G590" s="229">
        <f ca="1">BS!G11</f>
        <v>3236</v>
      </c>
      <c r="H590" s="229">
        <f ca="1">BS!H11</f>
        <v>2826</v>
      </c>
      <c r="I590" s="229">
        <f ca="1">BS!I11</f>
        <v>7296</v>
      </c>
      <c r="J590" s="229">
        <f ca="1">BS!J11</f>
        <v>12101</v>
      </c>
      <c r="K590" s="229">
        <f ca="1">BS!K11</f>
        <v>13346</v>
      </c>
    </row>
    <row r="592" spans="1:14">
      <c r="B592" s="40" t="s">
        <v>534</v>
      </c>
      <c r="C592" s="202">
        <f ca="1">C590/C589</f>
        <v>0.45375020249473513</v>
      </c>
      <c r="D592" s="202">
        <f t="shared" ref="D592:K592" ca="1" si="159">D590/D589</f>
        <v>0.58353476468079057</v>
      </c>
      <c r="E592" s="202">
        <f t="shared" ca="1" si="159"/>
        <v>0.5518126045733408</v>
      </c>
      <c r="F592" s="202">
        <f t="shared" ca="1" si="159"/>
        <v>0.45462896805144432</v>
      </c>
      <c r="G592" s="202">
        <f t="shared" ca="1" si="159"/>
        <v>0.35350666375355039</v>
      </c>
      <c r="H592" s="202">
        <f t="shared" ca="1" si="159"/>
        <v>0.32408256880733943</v>
      </c>
      <c r="I592" s="202">
        <f t="shared" ca="1" si="159"/>
        <v>0.70848708487084866</v>
      </c>
      <c r="J592" s="202">
        <f t="shared" ca="1" si="159"/>
        <v>0.83790333748788259</v>
      </c>
      <c r="K592" s="202">
        <f t="shared" ca="1" si="159"/>
        <v>0.8070875665215288</v>
      </c>
      <c r="M592" s="160">
        <f ca="1">MEDIAN(C592:K592)</f>
        <v>0.5518126045733408</v>
      </c>
      <c r="N592" s="160">
        <f ca="1">AVERAGE(C592:K592)</f>
        <v>0.56386597347127343</v>
      </c>
    </row>
    <row r="594" spans="1:17">
      <c r="B594" s="14" t="s">
        <v>541</v>
      </c>
      <c r="C594" s="70">
        <v>2016</v>
      </c>
      <c r="D594" s="70">
        <v>2017</v>
      </c>
      <c r="E594" s="70">
        <v>2018</v>
      </c>
      <c r="F594" s="70">
        <v>2019</v>
      </c>
      <c r="G594" s="70">
        <v>2020</v>
      </c>
      <c r="H594" s="70">
        <v>2021</v>
      </c>
      <c r="I594" s="70">
        <v>2022</v>
      </c>
      <c r="J594" s="70">
        <v>2023</v>
      </c>
      <c r="K594" s="70">
        <v>2024</v>
      </c>
      <c r="M594" s="14" t="s">
        <v>430</v>
      </c>
      <c r="N594" s="14" t="s">
        <v>361</v>
      </c>
    </row>
    <row r="595" spans="1:17">
      <c r="B595" t="s">
        <v>43</v>
      </c>
      <c r="C595" s="229">
        <f>'P&amp;L'!C3</f>
        <v>6173</v>
      </c>
      <c r="D595" s="229">
        <f>'P&amp;L'!D3</f>
        <v>7033</v>
      </c>
      <c r="E595" s="229">
        <f>'P&amp;L'!E3</f>
        <v>8965</v>
      </c>
      <c r="F595" s="229">
        <f>'P&amp;L'!F3</f>
        <v>9797</v>
      </c>
      <c r="G595" s="229">
        <f>'P&amp;L'!G3</f>
        <v>9154</v>
      </c>
      <c r="H595" s="229">
        <f>'P&amp;L'!H3</f>
        <v>8720</v>
      </c>
      <c r="I595" s="229">
        <f>'P&amp;L'!I3</f>
        <v>10298</v>
      </c>
      <c r="J595" s="229">
        <f>'P&amp;L'!J3</f>
        <v>14442</v>
      </c>
      <c r="K595" s="229">
        <f>'P&amp;L'!K3</f>
        <v>16536</v>
      </c>
    </row>
    <row r="596" spans="1:17">
      <c r="B596" t="s">
        <v>541</v>
      </c>
      <c r="C596" s="229">
        <f>BS!C14</f>
        <v>978</v>
      </c>
      <c r="D596" s="229">
        <f>BS!D14</f>
        <v>188</v>
      </c>
      <c r="E596" s="229">
        <f>BS!E14</f>
        <v>115</v>
      </c>
      <c r="F596" s="229">
        <f>BS!F14</f>
        <v>104</v>
      </c>
      <c r="G596" s="229">
        <f>BS!G14</f>
        <v>148</v>
      </c>
      <c r="H596" s="229">
        <f>BS!H14</f>
        <v>152</v>
      </c>
      <c r="I596" s="229">
        <f>BS!I14</f>
        <v>210</v>
      </c>
      <c r="J596" s="229">
        <f>BS!J14</f>
        <v>204</v>
      </c>
      <c r="K596" s="229">
        <f>BS!K14</f>
        <v>247</v>
      </c>
    </row>
    <row r="598" spans="1:17">
      <c r="B598" s="40" t="s">
        <v>534</v>
      </c>
      <c r="C598" s="202">
        <f>C596/C595</f>
        <v>0.15843188077109996</v>
      </c>
      <c r="D598" s="202">
        <f t="shared" ref="D598:K598" si="160">D596/D595</f>
        <v>2.6731124697852979E-2</v>
      </c>
      <c r="E598" s="202">
        <f t="shared" si="160"/>
        <v>1.2827663134411601E-2</v>
      </c>
      <c r="F598" s="202">
        <f t="shared" si="160"/>
        <v>1.0615494539144637E-2</v>
      </c>
      <c r="G598" s="202">
        <f t="shared" si="160"/>
        <v>1.6167795499235308E-2</v>
      </c>
      <c r="H598" s="202">
        <f t="shared" si="160"/>
        <v>1.743119266055046E-2</v>
      </c>
      <c r="I598" s="202">
        <f t="shared" si="160"/>
        <v>2.0392309186249756E-2</v>
      </c>
      <c r="J598" s="202">
        <f t="shared" si="160"/>
        <v>1.4125467386788533E-2</v>
      </c>
      <c r="K598" s="202">
        <f t="shared" si="160"/>
        <v>1.4937106918238994E-2</v>
      </c>
      <c r="M598" s="160">
        <f>MEDIAN(C598:K598)</f>
        <v>1.6167795499235308E-2</v>
      </c>
      <c r="N598" s="160">
        <f>AVERAGE(C598:K598)</f>
        <v>3.2406670532619142E-2</v>
      </c>
    </row>
    <row r="600" spans="1:17" ht="18">
      <c r="A600" s="159" t="s">
        <v>29</v>
      </c>
      <c r="B600" s="157" t="s">
        <v>544</v>
      </c>
    </row>
    <row r="601" spans="1:17">
      <c r="B601" s="434" t="s">
        <v>27</v>
      </c>
      <c r="C601" s="434"/>
      <c r="D601" s="434"/>
      <c r="E601" s="434"/>
      <c r="F601" s="434"/>
      <c r="G601" s="434"/>
      <c r="H601" s="434"/>
      <c r="I601" s="434"/>
      <c r="J601" s="434"/>
      <c r="K601" s="434"/>
      <c r="L601" s="426" t="s">
        <v>543</v>
      </c>
      <c r="M601" s="426"/>
      <c r="N601" s="426"/>
      <c r="O601" s="426"/>
      <c r="P601" s="426"/>
      <c r="Q601" s="426"/>
    </row>
    <row r="602" spans="1:17">
      <c r="B602" s="14" t="s">
        <v>209</v>
      </c>
      <c r="C602" s="70">
        <v>2016</v>
      </c>
      <c r="D602" s="70">
        <v>2017</v>
      </c>
      <c r="E602" s="70">
        <v>2018</v>
      </c>
      <c r="F602" s="70">
        <v>2019</v>
      </c>
      <c r="G602" s="70">
        <v>2020</v>
      </c>
      <c r="H602" s="70">
        <v>2021</v>
      </c>
      <c r="I602" s="70">
        <v>2022</v>
      </c>
      <c r="J602" s="70">
        <v>2023</v>
      </c>
      <c r="K602" s="70">
        <v>2024</v>
      </c>
      <c r="L602" s="70">
        <f>K602+1</f>
        <v>2025</v>
      </c>
      <c r="M602" s="70">
        <f t="shared" ref="M602:Q602" si="161">L602+1</f>
        <v>2026</v>
      </c>
      <c r="N602" s="70">
        <f t="shared" si="161"/>
        <v>2027</v>
      </c>
      <c r="O602" s="70">
        <f t="shared" si="161"/>
        <v>2028</v>
      </c>
      <c r="P602" s="70">
        <f t="shared" si="161"/>
        <v>2029</v>
      </c>
      <c r="Q602" s="70">
        <f t="shared" si="161"/>
        <v>2030</v>
      </c>
    </row>
    <row r="603" spans="1:17">
      <c r="B603" s="25" t="s">
        <v>504</v>
      </c>
      <c r="C603" s="249">
        <v>790</v>
      </c>
      <c r="D603" s="249">
        <v>869</v>
      </c>
      <c r="E603" s="249">
        <v>1498</v>
      </c>
      <c r="F603" s="249">
        <v>1871</v>
      </c>
      <c r="G603" s="249">
        <v>2374</v>
      </c>
      <c r="H603" s="249">
        <v>2433</v>
      </c>
      <c r="I603" s="249">
        <v>2424</v>
      </c>
      <c r="J603" s="249">
        <v>2690</v>
      </c>
      <c r="K603" s="249">
        <v>2914</v>
      </c>
      <c r="L603" s="229">
        <v>3855</v>
      </c>
      <c r="M603" s="229">
        <f>Schedules!J50</f>
        <v>4253.8888888888887</v>
      </c>
      <c r="N603" s="229">
        <f>Schedules!K50</f>
        <v>5758.059062960383</v>
      </c>
      <c r="O603" s="229">
        <f>Schedules!L50</f>
        <v>6347.7641285483796</v>
      </c>
      <c r="P603" s="229">
        <f>Schedules!M50</f>
        <v>6832.3051241065177</v>
      </c>
      <c r="Q603" s="229">
        <f>Schedules!N50</f>
        <v>7162.1271672898856</v>
      </c>
    </row>
    <row r="604" spans="1:17">
      <c r="B604" t="s">
        <v>545</v>
      </c>
      <c r="C604" s="208">
        <f>BS!C9</f>
        <v>33</v>
      </c>
      <c r="D604" s="208">
        <f>BS!D9</f>
        <v>264</v>
      </c>
      <c r="E604" s="208">
        <f>BS!E9</f>
        <v>142</v>
      </c>
      <c r="F604" s="208">
        <f>BS!F9</f>
        <v>272</v>
      </c>
      <c r="G604" s="208">
        <f>BS!G9</f>
        <v>27</v>
      </c>
      <c r="H604" s="208">
        <f>BS!H9</f>
        <v>64</v>
      </c>
      <c r="I604" s="208">
        <f>BS!I9</f>
        <v>134</v>
      </c>
      <c r="J604" s="208">
        <f>BS!J9</f>
        <v>78</v>
      </c>
      <c r="K604" s="208">
        <f>BS!K9</f>
        <v>212</v>
      </c>
      <c r="L604">
        <v>110</v>
      </c>
      <c r="M604">
        <v>0</v>
      </c>
      <c r="N604">
        <v>0</v>
      </c>
      <c r="O604">
        <v>0</v>
      </c>
      <c r="P604">
        <v>0</v>
      </c>
      <c r="Q604">
        <v>0</v>
      </c>
    </row>
    <row r="606" spans="1:17">
      <c r="B606" s="40" t="s">
        <v>546</v>
      </c>
      <c r="C606" s="202">
        <f>C604/C603</f>
        <v>4.1772151898734178E-2</v>
      </c>
      <c r="D606" s="202">
        <f t="shared" ref="D606:K606" si="162">D604/D603</f>
        <v>0.30379746835443039</v>
      </c>
      <c r="E606" s="202">
        <f t="shared" si="162"/>
        <v>9.4793057409879838E-2</v>
      </c>
      <c r="F606" s="202">
        <f t="shared" si="162"/>
        <v>0.1453768038482095</v>
      </c>
      <c r="G606" s="202">
        <f t="shared" si="162"/>
        <v>1.1373209772535805E-2</v>
      </c>
      <c r="H606" s="202">
        <f t="shared" si="162"/>
        <v>2.6304973284011508E-2</v>
      </c>
      <c r="I606" s="202">
        <f t="shared" si="162"/>
        <v>5.5280528052805283E-2</v>
      </c>
      <c r="J606" s="202">
        <f t="shared" si="162"/>
        <v>2.8996282527881039E-2</v>
      </c>
      <c r="K606" s="202">
        <f t="shared" si="162"/>
        <v>7.2752230610844196E-2</v>
      </c>
      <c r="L606" s="202">
        <f>L604/L603</f>
        <v>2.8534370946822308E-2</v>
      </c>
      <c r="M606" s="202">
        <f t="shared" ref="M606:Q606" si="163">M604/M603</f>
        <v>0</v>
      </c>
      <c r="N606" s="202">
        <f t="shared" si="163"/>
        <v>0</v>
      </c>
      <c r="O606" s="202">
        <f t="shared" si="163"/>
        <v>0</v>
      </c>
      <c r="P606" s="202">
        <f t="shared" si="163"/>
        <v>0</v>
      </c>
      <c r="Q606" s="202">
        <f t="shared" si="163"/>
        <v>0</v>
      </c>
    </row>
    <row r="607" spans="1:17">
      <c r="M607" s="14" t="s">
        <v>430</v>
      </c>
      <c r="N607" s="14" t="s">
        <v>361</v>
      </c>
    </row>
    <row r="608" spans="1:17">
      <c r="B608" s="26" t="s">
        <v>547</v>
      </c>
      <c r="C608" s="26"/>
      <c r="D608" s="94">
        <f>MEDIAN(C606,E606,G606:K606)</f>
        <v>4.1772151898734178E-2</v>
      </c>
      <c r="M608" s="160">
        <f>MEDIAN(C606:K606)</f>
        <v>5.5280528052805283E-2</v>
      </c>
      <c r="N608" s="160">
        <f>AVERAGE(C606:K606)</f>
        <v>8.6716300639925734E-2</v>
      </c>
    </row>
    <row r="609" spans="1:14">
      <c r="B609" s="26" t="s">
        <v>548</v>
      </c>
      <c r="C609" s="26"/>
      <c r="D609" s="94">
        <f>MEDIAN(D606,F606)</f>
        <v>0.22458713610131995</v>
      </c>
    </row>
    <row r="611" spans="1:14">
      <c r="B611" t="s">
        <v>549</v>
      </c>
    </row>
    <row r="613" spans="1:14">
      <c r="B613" s="14" t="s">
        <v>479</v>
      </c>
      <c r="C613" s="122"/>
    </row>
    <row r="614" spans="1:14">
      <c r="B614" t="s">
        <v>550</v>
      </c>
      <c r="C614">
        <v>468</v>
      </c>
    </row>
    <row r="616" spans="1:14">
      <c r="B616" s="169" t="s">
        <v>551</v>
      </c>
    </row>
    <row r="621" spans="1:14" ht="18">
      <c r="A621" s="159" t="s">
        <v>29</v>
      </c>
      <c r="B621" s="157" t="s">
        <v>3</v>
      </c>
    </row>
    <row r="623" spans="1:14">
      <c r="B623" s="14" t="s">
        <v>209</v>
      </c>
      <c r="C623" s="70">
        <v>2016</v>
      </c>
      <c r="D623" s="70">
        <v>2017</v>
      </c>
      <c r="E623" s="70">
        <v>2018</v>
      </c>
      <c r="F623" s="70">
        <v>2019</v>
      </c>
      <c r="G623" s="70">
        <v>2020</v>
      </c>
      <c r="H623" s="70">
        <v>2021</v>
      </c>
      <c r="I623" s="70">
        <v>2022</v>
      </c>
      <c r="J623" s="70">
        <v>2023</v>
      </c>
      <c r="K623" s="70">
        <v>2024</v>
      </c>
      <c r="M623" s="14" t="s">
        <v>430</v>
      </c>
      <c r="N623" s="14" t="s">
        <v>361</v>
      </c>
    </row>
    <row r="624" spans="1:14">
      <c r="B624" s="97" t="s">
        <v>440</v>
      </c>
      <c r="C624" s="98">
        <v>1061</v>
      </c>
      <c r="D624" s="98">
        <v>1285</v>
      </c>
      <c r="E624" s="98">
        <v>2134</v>
      </c>
      <c r="F624" s="98">
        <v>2757</v>
      </c>
      <c r="G624" s="98">
        <v>3575</v>
      </c>
      <c r="H624" s="98">
        <v>4049</v>
      </c>
      <c r="I624" s="98">
        <v>4405</v>
      </c>
      <c r="J624" s="98">
        <v>5142</v>
      </c>
      <c r="K624" s="98">
        <v>5750</v>
      </c>
    </row>
    <row r="625" spans="1:14">
      <c r="B625" s="231" t="s">
        <v>441</v>
      </c>
      <c r="C625" s="96">
        <v>271</v>
      </c>
      <c r="D625" s="96">
        <v>416</v>
      </c>
      <c r="E625" s="96">
        <v>636</v>
      </c>
      <c r="F625" s="96">
        <v>886</v>
      </c>
      <c r="G625" s="98">
        <v>1201</v>
      </c>
      <c r="H625" s="98">
        <v>1616</v>
      </c>
      <c r="I625" s="98">
        <v>1981</v>
      </c>
      <c r="J625" s="98">
        <v>2452</v>
      </c>
      <c r="K625" s="98">
        <v>2836</v>
      </c>
    </row>
    <row r="626" spans="1:14" ht="15" thickBot="1">
      <c r="B626" s="31" t="s">
        <v>504</v>
      </c>
      <c r="C626" s="232">
        <f>C624-C625</f>
        <v>790</v>
      </c>
      <c r="D626" s="232">
        <f t="shared" ref="D626:K626" si="164">D624-D625</f>
        <v>869</v>
      </c>
      <c r="E626" s="232">
        <f t="shared" si="164"/>
        <v>1498</v>
      </c>
      <c r="F626" s="232">
        <f t="shared" si="164"/>
        <v>1871</v>
      </c>
      <c r="G626" s="232">
        <f t="shared" si="164"/>
        <v>2374</v>
      </c>
      <c r="H626" s="232">
        <f t="shared" si="164"/>
        <v>2433</v>
      </c>
      <c r="I626" s="232">
        <f t="shared" si="164"/>
        <v>2424</v>
      </c>
      <c r="J626" s="232">
        <f t="shared" si="164"/>
        <v>2690</v>
      </c>
      <c r="K626" s="232">
        <f t="shared" si="164"/>
        <v>2914</v>
      </c>
    </row>
    <row r="628" spans="1:14">
      <c r="B628" s="22" t="s">
        <v>552</v>
      </c>
      <c r="C628" s="22">
        <f>'P&amp;L'!C39</f>
        <v>137</v>
      </c>
      <c r="D628" s="22">
        <f>'P&amp;L'!D39</f>
        <v>154</v>
      </c>
      <c r="E628" s="22">
        <f>'P&amp;L'!E39</f>
        <v>223</v>
      </c>
      <c r="F628" s="22">
        <f>'P&amp;L'!F39</f>
        <v>300</v>
      </c>
      <c r="G628" s="22">
        <f>'P&amp;L'!G39</f>
        <v>382</v>
      </c>
      <c r="H628" s="22">
        <f>'P&amp;L'!H39</f>
        <v>451</v>
      </c>
      <c r="I628" s="22">
        <f>'P&amp;L'!I39</f>
        <v>452</v>
      </c>
      <c r="J628" s="22">
        <f>'P&amp;L'!J39</f>
        <v>526</v>
      </c>
      <c r="K628" s="22">
        <f>'P&amp;L'!K39</f>
        <v>598</v>
      </c>
    </row>
    <row r="630" spans="1:14">
      <c r="B630" s="26" t="s">
        <v>553</v>
      </c>
      <c r="C630" s="252">
        <f>C624/C628</f>
        <v>7.7445255474452557</v>
      </c>
      <c r="D630" s="252">
        <f t="shared" ref="D630:K630" si="165">D624/D628</f>
        <v>8.3441558441558445</v>
      </c>
      <c r="E630" s="252">
        <f t="shared" si="165"/>
        <v>9.5695067264573996</v>
      </c>
      <c r="F630" s="252">
        <f t="shared" si="165"/>
        <v>9.19</v>
      </c>
      <c r="G630" s="252">
        <f t="shared" si="165"/>
        <v>9.3586387434554972</v>
      </c>
      <c r="H630" s="252">
        <f t="shared" si="165"/>
        <v>8.9778270509977833</v>
      </c>
      <c r="I630" s="252">
        <f t="shared" si="165"/>
        <v>9.7455752212389388</v>
      </c>
      <c r="J630" s="252">
        <f t="shared" si="165"/>
        <v>9.7756653992395446</v>
      </c>
      <c r="K630" s="252">
        <f t="shared" si="165"/>
        <v>9.615384615384615</v>
      </c>
      <c r="M630" s="253">
        <f>MEDIAN(C630:K630)</f>
        <v>9.3586387434554972</v>
      </c>
      <c r="N630" s="253">
        <f>AVERAGE(C630:K630)</f>
        <v>9.1468087942638743</v>
      </c>
    </row>
    <row r="631" spans="1:14">
      <c r="B631" s="26" t="s">
        <v>554</v>
      </c>
      <c r="C631" s="252">
        <f>C625/C628</f>
        <v>1.9781021897810218</v>
      </c>
      <c r="D631" s="252">
        <f t="shared" ref="D631:K631" si="166">D625/D628</f>
        <v>2.7012987012987013</v>
      </c>
      <c r="E631" s="252">
        <f t="shared" si="166"/>
        <v>2.8520179372197307</v>
      </c>
      <c r="F631" s="252">
        <f t="shared" si="166"/>
        <v>2.9533333333333331</v>
      </c>
      <c r="G631" s="252">
        <f t="shared" si="166"/>
        <v>3.1439790575916229</v>
      </c>
      <c r="H631" s="252">
        <f t="shared" si="166"/>
        <v>3.5831485587583147</v>
      </c>
      <c r="I631" s="252">
        <f t="shared" si="166"/>
        <v>4.3827433628318584</v>
      </c>
      <c r="J631" s="252">
        <f t="shared" si="166"/>
        <v>4.661596958174905</v>
      </c>
      <c r="K631" s="252">
        <f t="shared" si="166"/>
        <v>4.7424749163879598</v>
      </c>
      <c r="M631" s="253">
        <f t="shared" ref="M631" si="167">MEDIAN(C631:K631)</f>
        <v>3.1439790575916229</v>
      </c>
      <c r="N631" s="253">
        <f t="shared" ref="N631" si="168">AVERAGE(C631:K631)</f>
        <v>3.4442994461530496</v>
      </c>
    </row>
    <row r="632" spans="1:14">
      <c r="B632" s="26" t="s">
        <v>555</v>
      </c>
      <c r="C632" s="251">
        <f>C625/C624</f>
        <v>0.25541941564561732</v>
      </c>
      <c r="D632" s="251">
        <f t="shared" ref="D632:K632" si="169">D625/D624</f>
        <v>0.3237354085603113</v>
      </c>
      <c r="E632" s="251">
        <f t="shared" si="169"/>
        <v>0.29803186504217433</v>
      </c>
      <c r="F632" s="251">
        <f t="shared" si="169"/>
        <v>0.3213638012332245</v>
      </c>
      <c r="G632" s="251">
        <f t="shared" si="169"/>
        <v>0.33594405594405596</v>
      </c>
      <c r="H632" s="251">
        <f t="shared" si="169"/>
        <v>0.39911089157816743</v>
      </c>
      <c r="I632" s="251">
        <f t="shared" si="169"/>
        <v>0.44971623155505108</v>
      </c>
      <c r="J632" s="251">
        <f t="shared" si="169"/>
        <v>0.47685725398677559</v>
      </c>
      <c r="K632" s="251">
        <f t="shared" si="169"/>
        <v>0.49321739130434783</v>
      </c>
    </row>
    <row r="634" spans="1:14">
      <c r="B634" s="40" t="s">
        <v>556</v>
      </c>
      <c r="C634" s="202">
        <f>C628/C626</f>
        <v>0.17341772151898735</v>
      </c>
      <c r="D634" s="202">
        <f t="shared" ref="D634:K634" si="170">D628/D626</f>
        <v>0.17721518987341772</v>
      </c>
      <c r="E634" s="202">
        <f t="shared" si="170"/>
        <v>0.14886515353805074</v>
      </c>
      <c r="F634" s="202">
        <f t="shared" si="170"/>
        <v>0.16034206306787813</v>
      </c>
      <c r="G634" s="202">
        <f t="shared" si="170"/>
        <v>0.16090985678180286</v>
      </c>
      <c r="H634" s="202">
        <f t="shared" si="170"/>
        <v>0.1853678586107686</v>
      </c>
      <c r="I634" s="202">
        <f t="shared" si="170"/>
        <v>0.18646864686468648</v>
      </c>
      <c r="J634" s="202">
        <f t="shared" si="170"/>
        <v>0.19553903345724907</v>
      </c>
      <c r="K634" s="202">
        <f t="shared" si="170"/>
        <v>0.20521619766643789</v>
      </c>
      <c r="M634" s="250">
        <f t="shared" ref="M634" si="171">MEDIAN(C634:K634)</f>
        <v>0.17721518987341772</v>
      </c>
      <c r="N634" s="250">
        <f t="shared" ref="N634" si="172">AVERAGE(C634:K634)</f>
        <v>0.17703796904214208</v>
      </c>
    </row>
    <row r="635" spans="1:14">
      <c r="B635" s="40" t="s">
        <v>557</v>
      </c>
      <c r="C635" s="202">
        <f>C628/C624</f>
        <v>0.12912346842601319</v>
      </c>
      <c r="D635" s="202">
        <f t="shared" ref="D635:K635" si="173">D628/D624</f>
        <v>0.1198443579766537</v>
      </c>
      <c r="E635" s="202">
        <f t="shared" si="173"/>
        <v>0.10449859418931584</v>
      </c>
      <c r="F635" s="202">
        <f t="shared" si="173"/>
        <v>0.1088139281828074</v>
      </c>
      <c r="G635" s="202">
        <f t="shared" si="173"/>
        <v>0.10685314685314685</v>
      </c>
      <c r="H635" s="202">
        <f t="shared" si="173"/>
        <v>0.11138552729068905</v>
      </c>
      <c r="I635" s="202">
        <f t="shared" si="173"/>
        <v>0.10261066969353008</v>
      </c>
      <c r="J635" s="202">
        <f t="shared" si="173"/>
        <v>0.10229482691559705</v>
      </c>
      <c r="K635" s="202">
        <f t="shared" si="173"/>
        <v>0.104</v>
      </c>
      <c r="M635" s="250">
        <f t="shared" ref="M635:M636" si="174">MEDIAN(C635:K635)</f>
        <v>0.10685314685314685</v>
      </c>
      <c r="N635" s="250">
        <f t="shared" ref="N635:N636" si="175">AVERAGE(C635:K635)</f>
        <v>0.10993605772530592</v>
      </c>
    </row>
    <row r="636" spans="1:14">
      <c r="B636" s="40" t="s">
        <v>558</v>
      </c>
      <c r="C636" s="202">
        <f t="shared" ref="C636:K636" si="176">C628/C583</f>
        <v>2.2193422971002755E-2</v>
      </c>
      <c r="D636" s="202">
        <f t="shared" si="176"/>
        <v>2.1896772358879567E-2</v>
      </c>
      <c r="E636" s="202">
        <f t="shared" si="176"/>
        <v>2.4874511991076407E-2</v>
      </c>
      <c r="F636" s="202">
        <f t="shared" si="176"/>
        <v>3.062161886291722E-2</v>
      </c>
      <c r="G636" s="202">
        <f t="shared" si="176"/>
        <v>4.1730391085864106E-2</v>
      </c>
      <c r="H636" s="202">
        <f t="shared" si="176"/>
        <v>5.1720183486238532E-2</v>
      </c>
      <c r="I636" s="202">
        <f t="shared" si="176"/>
        <v>4.3892017867547095E-2</v>
      </c>
      <c r="J636" s="202">
        <f t="shared" si="176"/>
        <v>3.6421548262013569E-2</v>
      </c>
      <c r="K636" s="202">
        <f t="shared" si="176"/>
        <v>3.6163522012578615E-2</v>
      </c>
      <c r="M636" s="250">
        <f t="shared" si="174"/>
        <v>3.6163522012578615E-2</v>
      </c>
      <c r="N636" s="250">
        <f t="shared" si="175"/>
        <v>3.4390443210901983E-2</v>
      </c>
    </row>
    <row r="638" spans="1:14" ht="18">
      <c r="A638" s="159" t="s">
        <v>29</v>
      </c>
      <c r="B638" s="157" t="s">
        <v>573</v>
      </c>
    </row>
    <row r="640" spans="1:14">
      <c r="B640" s="14" t="s">
        <v>209</v>
      </c>
      <c r="C640" s="70">
        <v>2016</v>
      </c>
      <c r="D640" s="70">
        <v>2017</v>
      </c>
      <c r="E640" s="70">
        <v>2018</v>
      </c>
      <c r="F640" s="70">
        <v>2019</v>
      </c>
      <c r="G640" s="70">
        <v>2020</v>
      </c>
      <c r="H640" s="70">
        <v>2021</v>
      </c>
      <c r="I640" s="70">
        <v>2022</v>
      </c>
      <c r="J640" s="70">
        <v>2023</v>
      </c>
      <c r="K640" s="70">
        <v>2024</v>
      </c>
      <c r="M640" s="14" t="s">
        <v>430</v>
      </c>
      <c r="N640" s="14" t="s">
        <v>361</v>
      </c>
    </row>
    <row r="641" spans="1:14">
      <c r="B641" t="s">
        <v>43</v>
      </c>
      <c r="C641" s="229">
        <f t="shared" ref="C641:K641" si="177">C595</f>
        <v>6173</v>
      </c>
      <c r="D641" s="229">
        <f t="shared" si="177"/>
        <v>7033</v>
      </c>
      <c r="E641" s="229">
        <f t="shared" si="177"/>
        <v>8965</v>
      </c>
      <c r="F641" s="229">
        <f t="shared" si="177"/>
        <v>9797</v>
      </c>
      <c r="G641" s="229">
        <f t="shared" si="177"/>
        <v>9154</v>
      </c>
      <c r="H641" s="229">
        <f t="shared" si="177"/>
        <v>8720</v>
      </c>
      <c r="I641" s="229">
        <f t="shared" si="177"/>
        <v>10298</v>
      </c>
      <c r="J641" s="229">
        <f t="shared" si="177"/>
        <v>14442</v>
      </c>
      <c r="K641" s="229">
        <f t="shared" si="177"/>
        <v>16536</v>
      </c>
    </row>
    <row r="642" spans="1:14">
      <c r="B642" t="s">
        <v>573</v>
      </c>
      <c r="C642" s="229">
        <f>'P&amp;L'!C44</f>
        <v>326</v>
      </c>
      <c r="D642" s="229">
        <f>'P&amp;L'!D44</f>
        <v>416</v>
      </c>
      <c r="E642" s="229">
        <f>'P&amp;L'!E44</f>
        <v>536</v>
      </c>
      <c r="F642" s="229">
        <f>'P&amp;L'!F44</f>
        <v>700</v>
      </c>
      <c r="G642" s="229">
        <f>'P&amp;L'!G44</f>
        <v>576</v>
      </c>
      <c r="H642" s="229">
        <f>'P&amp;L'!H44</f>
        <v>484</v>
      </c>
      <c r="I642" s="229">
        <f>'P&amp;L'!I44</f>
        <v>501</v>
      </c>
      <c r="J642" s="229">
        <f>'P&amp;L'!J44</f>
        <v>910</v>
      </c>
      <c r="K642" s="229">
        <f>'P&amp;L'!K44</f>
        <v>1526</v>
      </c>
    </row>
    <row r="644" spans="1:14">
      <c r="B644" t="s">
        <v>574</v>
      </c>
      <c r="C644" s="32">
        <f>C642/C641</f>
        <v>5.2810626923699984E-2</v>
      </c>
      <c r="D644" s="32">
        <f t="shared" ref="D644:K644" si="178">D642/D641</f>
        <v>5.9149722735674676E-2</v>
      </c>
      <c r="E644" s="32">
        <f t="shared" si="178"/>
        <v>5.9788064696040158E-2</v>
      </c>
      <c r="F644" s="32">
        <f t="shared" si="178"/>
        <v>7.1450444013473516E-2</v>
      </c>
      <c r="G644" s="32">
        <f t="shared" si="178"/>
        <v>6.2923312213240115E-2</v>
      </c>
      <c r="H644" s="32">
        <f t="shared" si="178"/>
        <v>5.5504587155963306E-2</v>
      </c>
      <c r="I644" s="32">
        <f t="shared" si="178"/>
        <v>4.865022334433871E-2</v>
      </c>
      <c r="J644" s="32">
        <f t="shared" si="178"/>
        <v>6.3010663343027282E-2</v>
      </c>
      <c r="K644" s="32">
        <f t="shared" si="178"/>
        <v>9.2283502660861147E-2</v>
      </c>
      <c r="M644" s="160">
        <f t="shared" ref="M644" si="179">MEDIAN(C644:K644)</f>
        <v>5.9788064696040158E-2</v>
      </c>
      <c r="N644" s="160">
        <f t="shared" ref="N644" si="180">AVERAGE(C644:K644)</f>
        <v>6.2841238565146534E-2</v>
      </c>
    </row>
    <row r="646" spans="1:14" ht="18">
      <c r="A646" s="159" t="s">
        <v>29</v>
      </c>
      <c r="B646" s="157" t="s">
        <v>88</v>
      </c>
    </row>
    <row r="648" spans="1:14" ht="18">
      <c r="A648" t="s">
        <v>29</v>
      </c>
      <c r="B648" s="219" t="s">
        <v>157</v>
      </c>
    </row>
    <row r="650" spans="1:14">
      <c r="B650" s="14" t="s">
        <v>209</v>
      </c>
      <c r="C650" s="70">
        <v>2016</v>
      </c>
      <c r="D650" s="70">
        <v>2017</v>
      </c>
      <c r="E650" s="70">
        <v>2018</v>
      </c>
      <c r="F650" s="70">
        <v>2019</v>
      </c>
      <c r="G650" s="70">
        <v>2020</v>
      </c>
      <c r="H650" s="70">
        <v>2021</v>
      </c>
      <c r="I650" s="70">
        <v>2022</v>
      </c>
      <c r="J650" s="70">
        <v>2023</v>
      </c>
      <c r="K650" s="70">
        <v>2024</v>
      </c>
      <c r="M650" s="14" t="s">
        <v>430</v>
      </c>
      <c r="N650" s="14" t="s">
        <v>361</v>
      </c>
    </row>
    <row r="651" spans="1:14">
      <c r="B651" t="s">
        <v>584</v>
      </c>
      <c r="C651" s="208">
        <f>BS!C53</f>
        <v>662.76143790849676</v>
      </c>
      <c r="D651" s="208">
        <f>BS!D53</f>
        <v>677.3790849673203</v>
      </c>
      <c r="E651" s="208">
        <f>BS!E53</f>
        <v>1120.9725490196079</v>
      </c>
      <c r="F651" s="208">
        <f>BS!F53</f>
        <v>1315.0274509803921</v>
      </c>
      <c r="G651" s="208">
        <f>BS!G53</f>
        <v>1069.3169934640523</v>
      </c>
      <c r="H651" s="208">
        <f>BS!H53</f>
        <v>1731.681045751634</v>
      </c>
      <c r="I651" s="208">
        <f>BS!I53</f>
        <v>1818.9542483660132</v>
      </c>
      <c r="J651" s="208">
        <f>BS!J53</f>
        <v>1690.6745098039216</v>
      </c>
      <c r="K651" s="208">
        <f>BS!K53</f>
        <v>1906.8908496732026</v>
      </c>
    </row>
    <row r="652" spans="1:14">
      <c r="B652" s="40" t="s">
        <v>585</v>
      </c>
      <c r="C652" s="40"/>
      <c r="D652" s="202">
        <f>D651/C651-1</f>
        <v>2.2055669238923992E-2</v>
      </c>
      <c r="E652" s="202">
        <f t="shared" ref="E652:K652" si="181">E651/D651-1</f>
        <v>0.65486737618078128</v>
      </c>
      <c r="F652" s="202">
        <f t="shared" si="181"/>
        <v>0.173112983123898</v>
      </c>
      <c r="G652" s="202">
        <f t="shared" si="181"/>
        <v>-0.18684815844198188</v>
      </c>
      <c r="H652" s="202">
        <f t="shared" si="181"/>
        <v>0.61942721974505743</v>
      </c>
      <c r="I652" s="202">
        <f t="shared" si="181"/>
        <v>5.0397966085318213E-2</v>
      </c>
      <c r="J652" s="202">
        <f t="shared" si="181"/>
        <v>-7.0523895077254761E-2</v>
      </c>
      <c r="K652" s="202">
        <f t="shared" si="181"/>
        <v>0.12788762036422785</v>
      </c>
    </row>
    <row r="654" spans="1:14">
      <c r="B654" t="s">
        <v>48</v>
      </c>
      <c r="C654">
        <f>'P&amp;L'!C14</f>
        <v>3448</v>
      </c>
      <c r="D654">
        <f>'P&amp;L'!D14</f>
        <v>3706</v>
      </c>
      <c r="E654">
        <f>'P&amp;L'!E14</f>
        <v>4635</v>
      </c>
      <c r="F654">
        <f>'P&amp;L'!F14</f>
        <v>5057</v>
      </c>
      <c r="G654">
        <f>'P&amp;L'!G14</f>
        <v>4996</v>
      </c>
      <c r="H654">
        <f>'P&amp;L'!H14</f>
        <v>5112</v>
      </c>
      <c r="I654">
        <f>'P&amp;L'!I14</f>
        <v>5956</v>
      </c>
      <c r="J654">
        <f>'P&amp;L'!J14</f>
        <v>8212</v>
      </c>
      <c r="K654">
        <f>'P&amp;L'!K14</f>
        <v>8981</v>
      </c>
    </row>
    <row r="656" spans="1:14">
      <c r="B656" s="20" t="s">
        <v>586</v>
      </c>
      <c r="C656" s="41">
        <f>C651/C654</f>
        <v>0.19221619428900719</v>
      </c>
      <c r="D656" s="41">
        <f t="shared" ref="D656:K656" si="182">D651/D654</f>
        <v>0.18277902994261205</v>
      </c>
      <c r="E656" s="41">
        <f t="shared" si="182"/>
        <v>0.24184952513907398</v>
      </c>
      <c r="F656" s="41">
        <f t="shared" si="182"/>
        <v>0.2600410225391323</v>
      </c>
      <c r="G656" s="41">
        <f t="shared" si="182"/>
        <v>0.21403462639392559</v>
      </c>
      <c r="H656" s="41">
        <f t="shared" si="182"/>
        <v>0.33874824838646989</v>
      </c>
      <c r="I656" s="41">
        <f t="shared" si="182"/>
        <v>0.30539863135762479</v>
      </c>
      <c r="J656" s="41">
        <f t="shared" si="182"/>
        <v>0.20587853261129099</v>
      </c>
      <c r="K656" s="41">
        <f t="shared" si="182"/>
        <v>0.21232500274726673</v>
      </c>
      <c r="M656" s="160">
        <f t="shared" ref="M656" si="183">MEDIAN(C656:K656)</f>
        <v>0.21403462639392559</v>
      </c>
      <c r="N656" s="160">
        <f t="shared" ref="N656" si="184">AVERAGE(C656:K656)</f>
        <v>0.2392523126007115</v>
      </c>
    </row>
    <row r="658" spans="2:14">
      <c r="B658" s="20" t="s">
        <v>587</v>
      </c>
      <c r="C658" s="214">
        <f>C656*$B$659</f>
        <v>70.158910915487624</v>
      </c>
      <c r="D658" s="214">
        <f t="shared" ref="D658:K658" si="185">D656*$B$659</f>
        <v>66.714345929053394</v>
      </c>
      <c r="E658" s="214">
        <f t="shared" si="185"/>
        <v>88.275076675762008</v>
      </c>
      <c r="F658" s="214">
        <f t="shared" si="185"/>
        <v>94.914973226783289</v>
      </c>
      <c r="G658" s="214">
        <f t="shared" si="185"/>
        <v>78.122638633782842</v>
      </c>
      <c r="H658" s="214">
        <f t="shared" si="185"/>
        <v>123.64311066106151</v>
      </c>
      <c r="I658" s="214">
        <f t="shared" si="185"/>
        <v>111.47050044553305</v>
      </c>
      <c r="J658" s="214">
        <f t="shared" si="185"/>
        <v>75.145664403121216</v>
      </c>
      <c r="K658" s="214">
        <f t="shared" si="185"/>
        <v>77.49862600275236</v>
      </c>
      <c r="M658" s="253">
        <f t="shared" ref="M658" si="186">MEDIAN(C658:K658)</f>
        <v>78.122638633782842</v>
      </c>
      <c r="N658" s="253">
        <f t="shared" ref="N658" si="187">AVERAGE(C658:K658)</f>
        <v>87.32709409925971</v>
      </c>
    </row>
    <row r="659" spans="2:14">
      <c r="B659" s="221">
        <v>365</v>
      </c>
    </row>
    <row r="661" spans="2:14">
      <c r="B661" t="s">
        <v>43</v>
      </c>
      <c r="C661" s="229">
        <f>C641</f>
        <v>6173</v>
      </c>
      <c r="D661" s="229">
        <f t="shared" ref="D661:K661" si="188">D641</f>
        <v>7033</v>
      </c>
      <c r="E661" s="229">
        <f t="shared" si="188"/>
        <v>8965</v>
      </c>
      <c r="F661" s="229">
        <f t="shared" si="188"/>
        <v>9797</v>
      </c>
      <c r="G661" s="229">
        <f t="shared" si="188"/>
        <v>9154</v>
      </c>
      <c r="H661" s="229">
        <f t="shared" si="188"/>
        <v>8720</v>
      </c>
      <c r="I661" s="229">
        <f t="shared" si="188"/>
        <v>10298</v>
      </c>
      <c r="J661" s="229">
        <f t="shared" si="188"/>
        <v>14442</v>
      </c>
      <c r="K661" s="229">
        <f t="shared" si="188"/>
        <v>16536</v>
      </c>
    </row>
    <row r="663" spans="2:14">
      <c r="B663" t="s">
        <v>588</v>
      </c>
      <c r="C663" s="32">
        <f>C651/C661</f>
        <v>0.10736456146257845</v>
      </c>
      <c r="D663" s="32">
        <f t="shared" ref="D663:K663" si="189">D651/D661</f>
        <v>9.631438717010099E-2</v>
      </c>
      <c r="E663" s="32">
        <f t="shared" si="189"/>
        <v>0.1250387673195324</v>
      </c>
      <c r="F663" s="32">
        <f t="shared" si="189"/>
        <v>0.13422756466065042</v>
      </c>
      <c r="G663" s="32">
        <f t="shared" si="189"/>
        <v>0.11681417887962119</v>
      </c>
      <c r="H663" s="32">
        <f t="shared" si="189"/>
        <v>0.19858727588894884</v>
      </c>
      <c r="I663" s="32">
        <f t="shared" si="189"/>
        <v>0.1766317972777251</v>
      </c>
      <c r="J663" s="32">
        <f t="shared" si="189"/>
        <v>0.11706650808779405</v>
      </c>
      <c r="K663" s="32">
        <f t="shared" si="189"/>
        <v>0.11531754049789567</v>
      </c>
      <c r="M663" s="160">
        <f t="shared" ref="M663:M664" si="190">MEDIAN(C663:K663)</f>
        <v>0.11706650808779405</v>
      </c>
      <c r="N663" s="160">
        <f t="shared" ref="N663:N664" si="191">AVERAGE(C663:K663)</f>
        <v>0.13192917569387189</v>
      </c>
    </row>
    <row r="664" spans="2:14">
      <c r="B664" t="s">
        <v>589</v>
      </c>
      <c r="C664" s="32">
        <f>BS!C22/'P&amp;L'!C3</f>
        <v>5.3458610076138023E-3</v>
      </c>
      <c r="D664" s="32">
        <f>BS!D22/'P&amp;L'!D3</f>
        <v>7.1093416749608987E-3</v>
      </c>
      <c r="E664" s="32">
        <f>BS!E22/'P&amp;L'!E3</f>
        <v>7.5850529838259895E-3</v>
      </c>
      <c r="F664" s="32">
        <f>BS!F22/'P&amp;L'!F3</f>
        <v>8.5740532816168218E-3</v>
      </c>
      <c r="G664" s="32">
        <f>BS!G22/'P&amp;L'!G3</f>
        <v>9.5040419488748081E-3</v>
      </c>
      <c r="H664" s="32">
        <f>BS!H22/'P&amp;L'!H3</f>
        <v>1.8119266055045873E-2</v>
      </c>
      <c r="I664" s="32">
        <f>BS!I22/'P&amp;L'!I3</f>
        <v>2.9326082734511556E-2</v>
      </c>
      <c r="J664" s="32">
        <f>BS!J22/'P&amp;L'!J3</f>
        <v>2.5550477773161613E-2</v>
      </c>
      <c r="K664" s="32">
        <f>BS!K22/'P&amp;L'!K3</f>
        <v>2.2617319787131107E-2</v>
      </c>
      <c r="M664" s="160">
        <f t="shared" si="190"/>
        <v>9.5040419488748081E-3</v>
      </c>
      <c r="N664" s="160">
        <f t="shared" si="191"/>
        <v>1.4859055249638051E-2</v>
      </c>
    </row>
    <row r="668" spans="2:14">
      <c r="B668" s="14" t="s">
        <v>590</v>
      </c>
      <c r="C668" s="70">
        <v>2016</v>
      </c>
      <c r="D668" s="70">
        <v>2017</v>
      </c>
      <c r="E668" s="70">
        <v>2018</v>
      </c>
      <c r="F668" s="70">
        <v>2019</v>
      </c>
      <c r="G668" s="70">
        <v>2020</v>
      </c>
      <c r="H668" s="70">
        <v>2021</v>
      </c>
      <c r="I668" s="70">
        <v>2022</v>
      </c>
      <c r="J668" s="70">
        <v>2023</v>
      </c>
      <c r="K668" s="70">
        <v>2024</v>
      </c>
      <c r="L668" s="70">
        <v>2025</v>
      </c>
    </row>
    <row r="669" spans="2:14">
      <c r="B669" s="225" t="s">
        <v>474</v>
      </c>
      <c r="C669" s="226">
        <f>C658</f>
        <v>70.158910915487624</v>
      </c>
      <c r="D669" s="226">
        <f t="shared" ref="D669:K669" si="192">D658</f>
        <v>66.714345929053394</v>
      </c>
      <c r="E669" s="226">
        <f t="shared" si="192"/>
        <v>88.275076675762008</v>
      </c>
      <c r="F669" s="226">
        <f t="shared" si="192"/>
        <v>94.914973226783289</v>
      </c>
      <c r="G669" s="226">
        <f t="shared" si="192"/>
        <v>78.122638633782842</v>
      </c>
      <c r="H669" s="226">
        <f t="shared" si="192"/>
        <v>123.64311066106151</v>
      </c>
      <c r="I669" s="226">
        <f t="shared" si="192"/>
        <v>111.47050044553305</v>
      </c>
      <c r="J669" s="226">
        <f t="shared" si="192"/>
        <v>75.145664403121216</v>
      </c>
      <c r="K669" s="226">
        <f t="shared" si="192"/>
        <v>77.49862600275236</v>
      </c>
      <c r="L669" s="226">
        <v>90</v>
      </c>
    </row>
    <row r="670" spans="2:14">
      <c r="B670" s="225" t="s">
        <v>475</v>
      </c>
      <c r="C670" s="225">
        <v>74</v>
      </c>
      <c r="D670" s="225">
        <v>80</v>
      </c>
      <c r="E670" s="225">
        <v>86</v>
      </c>
      <c r="F670" s="225">
        <v>83</v>
      </c>
      <c r="G670" s="225">
        <v>94</v>
      </c>
      <c r="H670" s="225">
        <v>121</v>
      </c>
      <c r="I670" s="225">
        <v>105</v>
      </c>
      <c r="J670" s="225">
        <v>89</v>
      </c>
      <c r="K670" s="225">
        <v>100</v>
      </c>
      <c r="L670" s="225">
        <v>103</v>
      </c>
    </row>
    <row r="671" spans="2:14">
      <c r="B671" s="225" t="s">
        <v>476</v>
      </c>
      <c r="C671" s="226">
        <v>51</v>
      </c>
      <c r="D671" s="226">
        <v>62</v>
      </c>
      <c r="E671" s="226">
        <v>56</v>
      </c>
      <c r="F671" s="226">
        <v>54</v>
      </c>
      <c r="G671" s="226">
        <v>58</v>
      </c>
      <c r="H671" s="226">
        <v>88</v>
      </c>
      <c r="I671" s="226">
        <v>76</v>
      </c>
      <c r="J671" s="226">
        <v>73</v>
      </c>
      <c r="K671" s="226">
        <v>80</v>
      </c>
      <c r="L671" s="226">
        <v>77</v>
      </c>
    </row>
    <row r="672" spans="2:14">
      <c r="B672" s="225" t="s">
        <v>477</v>
      </c>
      <c r="C672" s="225">
        <v>49</v>
      </c>
      <c r="D672" s="225">
        <v>56</v>
      </c>
      <c r="E672" s="225">
        <v>68</v>
      </c>
      <c r="F672" s="225">
        <v>63</v>
      </c>
      <c r="G672" s="225">
        <v>56</v>
      </c>
      <c r="H672" s="225">
        <v>85</v>
      </c>
      <c r="I672" s="225">
        <v>54</v>
      </c>
      <c r="J672" s="225">
        <v>58</v>
      </c>
      <c r="K672" s="225">
        <v>64</v>
      </c>
      <c r="L672" s="225">
        <v>66</v>
      </c>
    </row>
    <row r="674" spans="2:14">
      <c r="B674" s="34" t="s">
        <v>360</v>
      </c>
      <c r="C674" s="212">
        <f>MEDIAN(C670:C672)</f>
        <v>51</v>
      </c>
      <c r="D674" s="212">
        <f t="shared" ref="D674:L674" si="193">MEDIAN(D670:D672)</f>
        <v>62</v>
      </c>
      <c r="E674" s="212">
        <f t="shared" si="193"/>
        <v>68</v>
      </c>
      <c r="F674" s="212">
        <f t="shared" si="193"/>
        <v>63</v>
      </c>
      <c r="G674" s="212">
        <f t="shared" si="193"/>
        <v>58</v>
      </c>
      <c r="H674" s="212">
        <f t="shared" si="193"/>
        <v>88</v>
      </c>
      <c r="I674" s="212">
        <f t="shared" si="193"/>
        <v>76</v>
      </c>
      <c r="J674" s="212">
        <f t="shared" si="193"/>
        <v>73</v>
      </c>
      <c r="K674" s="212">
        <f t="shared" si="193"/>
        <v>80</v>
      </c>
      <c r="L674" s="212">
        <f t="shared" si="193"/>
        <v>77</v>
      </c>
      <c r="M674" s="220">
        <f t="shared" ref="M674:M675" si="194">MEDIAN(C674:K674)</f>
        <v>68</v>
      </c>
      <c r="N674" s="220">
        <f t="shared" ref="N674:N675" si="195">AVERAGE(C674:K674)</f>
        <v>68.777777777777771</v>
      </c>
    </row>
    <row r="675" spans="2:14">
      <c r="B675" s="34" t="s">
        <v>361</v>
      </c>
      <c r="C675" s="212">
        <f>AVERAGE(C670:C672)</f>
        <v>58</v>
      </c>
      <c r="D675" s="212">
        <f t="shared" ref="D675:L675" si="196">AVERAGE(D670:D672)</f>
        <v>66</v>
      </c>
      <c r="E675" s="212">
        <f t="shared" si="196"/>
        <v>70</v>
      </c>
      <c r="F675" s="212">
        <f t="shared" si="196"/>
        <v>66.666666666666671</v>
      </c>
      <c r="G675" s="212">
        <f t="shared" si="196"/>
        <v>69.333333333333329</v>
      </c>
      <c r="H675" s="212">
        <f t="shared" si="196"/>
        <v>98</v>
      </c>
      <c r="I675" s="212">
        <f t="shared" si="196"/>
        <v>78.333333333333329</v>
      </c>
      <c r="J675" s="212">
        <f t="shared" si="196"/>
        <v>73.333333333333329</v>
      </c>
      <c r="K675" s="212">
        <f t="shared" si="196"/>
        <v>81.333333333333329</v>
      </c>
      <c r="L675" s="212">
        <f t="shared" si="196"/>
        <v>82</v>
      </c>
      <c r="M675" s="220">
        <f t="shared" si="194"/>
        <v>70</v>
      </c>
      <c r="N675" s="220">
        <f t="shared" si="195"/>
        <v>73.444444444444443</v>
      </c>
    </row>
    <row r="677" spans="2:14">
      <c r="B677" s="14" t="s">
        <v>479</v>
      </c>
      <c r="C677" s="14" t="s">
        <v>235</v>
      </c>
      <c r="D677" s="129" t="s">
        <v>416</v>
      </c>
    </row>
    <row r="679" spans="2:14">
      <c r="B679" s="14" t="s">
        <v>481</v>
      </c>
      <c r="C679" s="70">
        <v>2026</v>
      </c>
      <c r="D679" s="70">
        <v>2027</v>
      </c>
    </row>
    <row r="680" spans="2:14">
      <c r="B680" t="s">
        <v>480</v>
      </c>
      <c r="C680">
        <v>70</v>
      </c>
      <c r="D680">
        <v>70</v>
      </c>
    </row>
    <row r="681" spans="2:14">
      <c r="B681" t="s">
        <v>228</v>
      </c>
      <c r="C681">
        <v>49</v>
      </c>
      <c r="D681">
        <v>49</v>
      </c>
    </row>
    <row r="683" spans="2:14">
      <c r="B683" s="14" t="s">
        <v>527</v>
      </c>
      <c r="C683" s="14" t="s">
        <v>235</v>
      </c>
    </row>
    <row r="685" spans="2:14">
      <c r="B685" t="s">
        <v>591</v>
      </c>
    </row>
    <row r="687" spans="2:14">
      <c r="B687" s="169" t="s">
        <v>592</v>
      </c>
    </row>
    <row r="692" spans="1:14" ht="18">
      <c r="A692" t="s">
        <v>29</v>
      </c>
      <c r="B692" s="219" t="s">
        <v>16</v>
      </c>
    </row>
    <row r="694" spans="1:14">
      <c r="B694" t="s">
        <v>593</v>
      </c>
    </row>
    <row r="696" spans="1:14" ht="18">
      <c r="A696" t="s">
        <v>29</v>
      </c>
      <c r="B696" s="219" t="s">
        <v>594</v>
      </c>
    </row>
    <row r="698" spans="1:14">
      <c r="B698" s="14" t="s">
        <v>209</v>
      </c>
      <c r="C698" s="70">
        <v>2016</v>
      </c>
      <c r="D698" s="70">
        <v>2017</v>
      </c>
      <c r="E698" s="70">
        <v>2018</v>
      </c>
      <c r="F698" s="70">
        <v>2019</v>
      </c>
      <c r="G698" s="70">
        <v>2020</v>
      </c>
      <c r="H698" s="70">
        <v>2021</v>
      </c>
      <c r="I698" s="70">
        <v>2022</v>
      </c>
      <c r="J698" s="70">
        <v>2023</v>
      </c>
      <c r="K698" s="70">
        <v>2024</v>
      </c>
      <c r="M698" s="14" t="s">
        <v>430</v>
      </c>
      <c r="N698" s="14" t="s">
        <v>361</v>
      </c>
    </row>
    <row r="700" spans="1:14">
      <c r="B700" t="str">
        <f>BS!B45</f>
        <v>Long-Term Borrowings</v>
      </c>
      <c r="C700" s="208">
        <f>BS!C45</f>
        <v>-9.2941176470588243</v>
      </c>
      <c r="D700" s="208">
        <f>BS!D45</f>
        <v>-15.176470588235293</v>
      </c>
      <c r="E700" s="208">
        <f>BS!E45</f>
        <v>53.705882352941174</v>
      </c>
      <c r="F700" s="208">
        <f>BS!F45</f>
        <v>156.29411764705881</v>
      </c>
      <c r="G700" s="208">
        <f>BS!G45</f>
        <v>157.70588235294119</v>
      </c>
      <c r="H700" s="208">
        <f>BS!H45</f>
        <v>325.05882352941177</v>
      </c>
      <c r="I700" s="208">
        <f>BS!I45</f>
        <v>147.1764705882353</v>
      </c>
      <c r="J700" s="208">
        <f>BS!J45</f>
        <v>86.941176470588232</v>
      </c>
      <c r="K700" s="208">
        <f>BS!K45</f>
        <v>135.23529411764707</v>
      </c>
    </row>
    <row r="701" spans="1:14">
      <c r="B701" s="266" t="s">
        <v>596</v>
      </c>
      <c r="C701" s="267"/>
      <c r="D701" s="268">
        <f>D700/C700-1</f>
        <v>0.63291139240506311</v>
      </c>
      <c r="E701" s="268">
        <f t="shared" ref="E701:K701" si="197">E700/D700-1</f>
        <v>-4.5387596899224807</v>
      </c>
      <c r="F701" s="268">
        <f t="shared" si="197"/>
        <v>1.9101861993428257</v>
      </c>
      <c r="G701" s="268">
        <f t="shared" si="197"/>
        <v>9.0327436958976826E-3</v>
      </c>
      <c r="H701" s="268">
        <f t="shared" si="197"/>
        <v>1.0611712047743378</v>
      </c>
      <c r="I701" s="268">
        <f t="shared" si="197"/>
        <v>-0.54723127035830621</v>
      </c>
      <c r="J701" s="268">
        <f t="shared" si="197"/>
        <v>-0.40927258193445248</v>
      </c>
      <c r="K701" s="268">
        <f t="shared" si="197"/>
        <v>0.55548037889039259</v>
      </c>
      <c r="M701" s="160">
        <f>MEDIAN(C701:K701)</f>
        <v>0.28225656129314514</v>
      </c>
      <c r="N701" s="160">
        <f>AVERAGE(C701:K701)</f>
        <v>-0.16581020288834031</v>
      </c>
    </row>
    <row r="702" spans="1:14">
      <c r="B702" t="str">
        <f>BS!B46</f>
        <v>Short-Term Borrowings</v>
      </c>
      <c r="C702" s="208">
        <f>BS!C46</f>
        <v>13.705882352941176</v>
      </c>
      <c r="D702" s="208">
        <f>BS!D46</f>
        <v>96.82352941176471</v>
      </c>
      <c r="E702" s="208">
        <f>BS!E46</f>
        <v>204.70588235294116</v>
      </c>
      <c r="F702" s="208">
        <f>BS!F46</f>
        <v>343.29411764705878</v>
      </c>
      <c r="G702" s="208">
        <f>BS!G46</f>
        <v>301.70588235294122</v>
      </c>
      <c r="H702" s="208">
        <f>BS!H46</f>
        <v>482.05882352941177</v>
      </c>
      <c r="I702" s="208">
        <f>BS!I46</f>
        <v>206.1764705882353</v>
      </c>
      <c r="J702" s="208">
        <f>BS!J46</f>
        <v>156.94117647058823</v>
      </c>
      <c r="K702" s="208">
        <f>BS!K46</f>
        <v>84.235294117647058</v>
      </c>
    </row>
    <row r="703" spans="1:14">
      <c r="B703" s="266" t="s">
        <v>596</v>
      </c>
      <c r="C703" s="267"/>
      <c r="D703" s="268">
        <f>D702/C702-1</f>
        <v>6.0643776824034346</v>
      </c>
      <c r="E703" s="268">
        <f t="shared" ref="E703" si="198">E702/D702-1</f>
        <v>1.1142162818955041</v>
      </c>
      <c r="F703" s="268">
        <f t="shared" ref="F703" si="199">F702/E702-1</f>
        <v>0.67701149425287355</v>
      </c>
      <c r="G703" s="268">
        <f t="shared" ref="G703" si="200">G702/F702-1</f>
        <v>-0.12114461960246725</v>
      </c>
      <c r="H703" s="268">
        <f t="shared" ref="H703" si="201">H702/G702-1</f>
        <v>0.59777734451160058</v>
      </c>
      <c r="I703" s="268">
        <f t="shared" ref="I703" si="202">I702/H702-1</f>
        <v>-0.57230018303843799</v>
      </c>
      <c r="J703" s="268">
        <f t="shared" ref="J703" si="203">J702/I702-1</f>
        <v>-0.23880171184022825</v>
      </c>
      <c r="K703" s="268">
        <f t="shared" ref="K703" si="204">K702/J702-1</f>
        <v>-0.46326836581709141</v>
      </c>
      <c r="M703" s="160">
        <f>MEDIAN(C703:K703)</f>
        <v>0.23831636245456667</v>
      </c>
      <c r="N703" s="160">
        <f>AVERAGE(C703:K703)</f>
        <v>0.88223349034564857</v>
      </c>
    </row>
    <row r="704" spans="1:14">
      <c r="B704" s="24" t="s">
        <v>595</v>
      </c>
      <c r="C704" s="258">
        <f>SUM(C700:C702)</f>
        <v>4.4117647058823515</v>
      </c>
      <c r="D704" s="258">
        <f>D702+D700</f>
        <v>81.64705882352942</v>
      </c>
      <c r="E704" s="258">
        <f t="shared" ref="E704:K704" si="205">E702+E700</f>
        <v>258.41176470588232</v>
      </c>
      <c r="F704" s="258">
        <f t="shared" si="205"/>
        <v>499.58823529411757</v>
      </c>
      <c r="G704" s="258">
        <f t="shared" si="205"/>
        <v>459.41176470588243</v>
      </c>
      <c r="H704" s="258">
        <f t="shared" si="205"/>
        <v>807.11764705882354</v>
      </c>
      <c r="I704" s="258">
        <f t="shared" si="205"/>
        <v>353.35294117647061</v>
      </c>
      <c r="J704" s="258">
        <f t="shared" si="205"/>
        <v>243.88235294117646</v>
      </c>
      <c r="K704" s="258">
        <f t="shared" si="205"/>
        <v>219.47058823529414</v>
      </c>
    </row>
    <row r="705" spans="2:14">
      <c r="B705" s="269" t="s">
        <v>596</v>
      </c>
      <c r="C705" s="269"/>
      <c r="D705" s="270">
        <f>D704/C704-1</f>
        <v>17.506666666666675</v>
      </c>
      <c r="E705" s="270">
        <f t="shared" ref="E705" si="206">E704/D704-1</f>
        <v>2.1649855907780973</v>
      </c>
      <c r="F705" s="270">
        <f t="shared" ref="F705" si="207">F704/E704-1</f>
        <v>0.93330298201684503</v>
      </c>
      <c r="G705" s="270">
        <f t="shared" ref="G705" si="208">G704/F704-1</f>
        <v>-8.0419168727186796E-2</v>
      </c>
      <c r="H705" s="270">
        <f t="shared" ref="H705" si="209">H704/G704-1</f>
        <v>0.75685019206145943</v>
      </c>
      <c r="I705" s="270">
        <f t="shared" ref="I705" si="210">I704/H704-1</f>
        <v>-0.56220392099701189</v>
      </c>
      <c r="J705" s="270">
        <f t="shared" ref="J705" si="211">J704/I704-1</f>
        <v>-0.30980522723489268</v>
      </c>
      <c r="K705" s="270">
        <f t="shared" ref="K705" si="212">K704/J704-1</f>
        <v>-0.1000964785335261</v>
      </c>
      <c r="M705" s="160">
        <f>MEDIAN(C705:K705)</f>
        <v>0.33821551166713631</v>
      </c>
      <c r="N705" s="160">
        <f>AVERAGE(C705:K705)</f>
        <v>2.5386600795038077</v>
      </c>
    </row>
    <row r="707" spans="2:14">
      <c r="B707" s="26" t="s">
        <v>597</v>
      </c>
      <c r="C707" s="27">
        <f>C700/C704</f>
        <v>-2.1066666666666674</v>
      </c>
      <c r="D707" s="27">
        <f t="shared" ref="D707:K707" si="213">D700/D704</f>
        <v>-0.18587896253602304</v>
      </c>
      <c r="E707" s="27">
        <f t="shared" si="213"/>
        <v>0.20783063965399501</v>
      </c>
      <c r="F707" s="27">
        <f t="shared" si="213"/>
        <v>0.31284587307194162</v>
      </c>
      <c r="G707" s="27">
        <f t="shared" si="213"/>
        <v>0.3432778489116517</v>
      </c>
      <c r="H707" s="27">
        <f t="shared" si="213"/>
        <v>0.40274032504919466</v>
      </c>
      <c r="I707" s="27">
        <f t="shared" si="213"/>
        <v>0.41651406692192444</v>
      </c>
      <c r="J707" s="27">
        <f t="shared" si="213"/>
        <v>0.356488181379643</v>
      </c>
      <c r="K707" s="27">
        <f t="shared" si="213"/>
        <v>0.61618868935942106</v>
      </c>
      <c r="M707" s="160">
        <f t="shared" ref="M707:M708" si="214">MEDIAN(C707:K707)</f>
        <v>0.3432778489116517</v>
      </c>
      <c r="N707" s="160">
        <f t="shared" ref="N707:N708" si="215">AVERAGE(C707:K707)</f>
        <v>4.0371110571675702E-2</v>
      </c>
    </row>
    <row r="708" spans="2:14">
      <c r="B708" s="26" t="s">
        <v>598</v>
      </c>
      <c r="C708" s="27">
        <f>C702/C704</f>
        <v>3.1066666666666674</v>
      </c>
      <c r="D708" s="27">
        <f t="shared" ref="D708:K708" si="216">D702/D704</f>
        <v>1.1858789625360229</v>
      </c>
      <c r="E708" s="27">
        <f t="shared" si="216"/>
        <v>0.79216936034600505</v>
      </c>
      <c r="F708" s="27">
        <f t="shared" si="216"/>
        <v>0.68715412692805844</v>
      </c>
      <c r="G708" s="27">
        <f t="shared" si="216"/>
        <v>0.65672215108834819</v>
      </c>
      <c r="H708" s="27">
        <f t="shared" si="216"/>
        <v>0.59725967495080534</v>
      </c>
      <c r="I708" s="27">
        <f t="shared" si="216"/>
        <v>0.58348593307807561</v>
      </c>
      <c r="J708" s="27">
        <f t="shared" si="216"/>
        <v>0.643511818620357</v>
      </c>
      <c r="K708" s="27">
        <f t="shared" si="216"/>
        <v>0.38381131064057888</v>
      </c>
      <c r="M708" s="160">
        <f t="shared" si="214"/>
        <v>0.65672215108834819</v>
      </c>
      <c r="N708" s="160">
        <f t="shared" si="215"/>
        <v>0.95962888942832458</v>
      </c>
    </row>
    <row r="710" spans="2:14">
      <c r="B710" s="22" t="s">
        <v>43</v>
      </c>
      <c r="C710" s="230">
        <f>C661</f>
        <v>6173</v>
      </c>
      <c r="D710" s="230">
        <f t="shared" ref="D710:K710" si="217">D661</f>
        <v>7033</v>
      </c>
      <c r="E710" s="230">
        <f t="shared" si="217"/>
        <v>8965</v>
      </c>
      <c r="F710" s="230">
        <f t="shared" si="217"/>
        <v>9797</v>
      </c>
      <c r="G710" s="230">
        <f t="shared" si="217"/>
        <v>9154</v>
      </c>
      <c r="H710" s="230">
        <f t="shared" si="217"/>
        <v>8720</v>
      </c>
      <c r="I710" s="230">
        <f t="shared" si="217"/>
        <v>10298</v>
      </c>
      <c r="J710" s="230">
        <f t="shared" si="217"/>
        <v>14442</v>
      </c>
      <c r="K710" s="230">
        <f t="shared" si="217"/>
        <v>16536</v>
      </c>
    </row>
    <row r="712" spans="2:14">
      <c r="B712" s="26" t="s">
        <v>599</v>
      </c>
      <c r="C712" s="27">
        <f>C700/C710</f>
        <v>-1.5056079130177911E-3</v>
      </c>
      <c r="D712" s="27">
        <f t="shared" ref="D712:K712" si="218">D700/D710</f>
        <v>-2.1578942966351904E-3</v>
      </c>
      <c r="E712" s="27">
        <f t="shared" si="218"/>
        <v>5.9906171057380001E-3</v>
      </c>
      <c r="F712" s="27">
        <f t="shared" si="218"/>
        <v>1.5953263003680596E-2</v>
      </c>
      <c r="G712" s="27">
        <f t="shared" si="218"/>
        <v>1.7228084154789294E-2</v>
      </c>
      <c r="H712" s="27">
        <f t="shared" si="218"/>
        <v>3.7277388019427954E-2</v>
      </c>
      <c r="I712" s="27">
        <f t="shared" si="218"/>
        <v>1.4291752824648991E-2</v>
      </c>
      <c r="J712" s="27">
        <f t="shared" si="218"/>
        <v>6.0200232980603952E-3</v>
      </c>
      <c r="K712" s="27">
        <f t="shared" si="218"/>
        <v>8.1782350095335674E-3</v>
      </c>
      <c r="M712" s="160">
        <f t="shared" ref="M712:M713" si="219">MEDIAN(C712:K712)</f>
        <v>8.1782350095335674E-3</v>
      </c>
      <c r="N712" s="160">
        <f t="shared" ref="N712:N713" si="220">AVERAGE(C712:K712)</f>
        <v>1.1252873467358423E-2</v>
      </c>
    </row>
    <row r="713" spans="2:14">
      <c r="B713" s="26" t="s">
        <v>600</v>
      </c>
      <c r="C713" s="27">
        <f>C702/C710</f>
        <v>2.2202952135009194E-3</v>
      </c>
      <c r="D713" s="27">
        <f t="shared" ref="D713:K713" si="221">D702/D710</f>
        <v>1.3767031055277223E-2</v>
      </c>
      <c r="E713" s="27">
        <f t="shared" si="221"/>
        <v>2.2833896525704535E-2</v>
      </c>
      <c r="F713" s="27">
        <f t="shared" si="221"/>
        <v>3.504073876156566E-2</v>
      </c>
      <c r="G713" s="27">
        <f t="shared" si="221"/>
        <v>3.2958912208099322E-2</v>
      </c>
      <c r="H713" s="27">
        <f t="shared" si="221"/>
        <v>5.5281975175391261E-2</v>
      </c>
      <c r="I713" s="27">
        <f t="shared" si="221"/>
        <v>2.0021020643642969E-2</v>
      </c>
      <c r="J713" s="27">
        <f t="shared" si="221"/>
        <v>1.0866997401370187E-2</v>
      </c>
      <c r="K713" s="27">
        <f t="shared" si="221"/>
        <v>5.0940550385611431E-3</v>
      </c>
      <c r="M713" s="160">
        <f t="shared" si="219"/>
        <v>2.0021020643642969E-2</v>
      </c>
      <c r="N713" s="160">
        <f t="shared" si="220"/>
        <v>2.200943578034591E-2</v>
      </c>
    </row>
    <row r="715" spans="2:14">
      <c r="B715" s="21" t="s">
        <v>601</v>
      </c>
      <c r="C715" s="271">
        <f>C704/SUM(BS!C42:C43)</f>
        <v>1.207710020772612E-3</v>
      </c>
      <c r="D715" s="271">
        <f>D704/SUM(BS!D42:D43)</f>
        <v>1.5275408573157984E-2</v>
      </c>
      <c r="E715" s="271">
        <f>E704/SUM(BS!E42:E43)</f>
        <v>3.6758430256882267E-2</v>
      </c>
      <c r="F715" s="271">
        <f>F704/SUM(BS!F42:F43)</f>
        <v>5.6020210281914957E-2</v>
      </c>
      <c r="G715" s="271">
        <f>G704/SUM(BS!G42:G43)</f>
        <v>4.6028630869239799E-2</v>
      </c>
      <c r="H715" s="271">
        <f>H704/SUM(BS!H42:H43)</f>
        <v>7.0564578340516132E-2</v>
      </c>
      <c r="I715" s="271">
        <f>I704/SUM(BS!I42:I43)</f>
        <v>2.8026089877575398E-2</v>
      </c>
      <c r="J715" s="271">
        <f>J704/SUM(BS!J42:J43)</f>
        <v>1.6269669976062471E-2</v>
      </c>
      <c r="K715" s="271">
        <f>K704/SUM(BS!K42:K43)</f>
        <v>1.216240444640034E-2</v>
      </c>
      <c r="M715" s="272">
        <f t="shared" ref="M715:M718" si="222">MEDIAN(C715:K715)</f>
        <v>2.8026089877575398E-2</v>
      </c>
      <c r="N715" s="272">
        <f t="shared" ref="N715:N718" si="223">AVERAGE(C715:K715)</f>
        <v>3.1368125849169107E-2</v>
      </c>
    </row>
    <row r="716" spans="2:14">
      <c r="B716" s="21" t="s">
        <v>602</v>
      </c>
      <c r="C716" s="271">
        <f>C704/(SUM(BS!C42:C43,Assumptions!C704))</f>
        <v>1.2062532166752439E-3</v>
      </c>
      <c r="D716" s="271">
        <f>D704/(SUM(BS!D42:D43,Assumptions!D704))</f>
        <v>1.5045581173511973E-2</v>
      </c>
      <c r="E716" s="271">
        <f>E704/(SUM(BS!E42:E43,Assumptions!E704))</f>
        <v>3.5455154435324404E-2</v>
      </c>
      <c r="F716" s="271">
        <f>F704/(SUM(BS!F42:F43,Assumptions!F704))</f>
        <v>5.3048426286235385E-2</v>
      </c>
      <c r="G716" s="271">
        <f>G704/(SUM(BS!G42:G43,Assumptions!G704))</f>
        <v>4.4003222771245222E-2</v>
      </c>
      <c r="H716" s="271">
        <f>H704/(SUM(BS!H42:H43,Assumptions!H704))</f>
        <v>6.5913425278742555E-2</v>
      </c>
      <c r="I716" s="271">
        <f>I704/(SUM(BS!I42:I43,Assumptions!I704))</f>
        <v>2.7262041453551964E-2</v>
      </c>
      <c r="J716" s="271">
        <f>J704/(SUM(BS!J42:J43,Assumptions!J704))</f>
        <v>1.6009205486222661E-2</v>
      </c>
      <c r="K716" s="271">
        <f>K704/(SUM(BS!K42:K43,Assumptions!K704))</f>
        <v>1.2016257858394313E-2</v>
      </c>
      <c r="M716" s="272">
        <f t="shared" si="222"/>
        <v>2.7262041453551964E-2</v>
      </c>
      <c r="N716" s="272">
        <f t="shared" si="223"/>
        <v>2.9995507551100413E-2</v>
      </c>
    </row>
    <row r="717" spans="2:14">
      <c r="B717" s="21" t="s">
        <v>603</v>
      </c>
      <c r="C717" s="271">
        <f>C704/BS!C40</f>
        <v>7.5634574076501829E-4</v>
      </c>
      <c r="D717" s="271">
        <f>D704/BS!D40</f>
        <v>1.1648888403984793E-2</v>
      </c>
      <c r="E717" s="271">
        <f>E704/BS!E40</f>
        <v>2.7138391588519464E-2</v>
      </c>
      <c r="F717" s="271">
        <f>F704/BS!F40</f>
        <v>4.3873560665154784E-2</v>
      </c>
      <c r="G717" s="271">
        <f>G704/BS!G40</f>
        <v>3.6900543349870078E-2</v>
      </c>
      <c r="H717" s="271">
        <f>H704/BS!H40</f>
        <v>5.5437711866118795E-2</v>
      </c>
      <c r="I717" s="271">
        <f>I704/BS!I40</f>
        <v>2.189299511626212E-2</v>
      </c>
      <c r="J717" s="271">
        <f>J704/BS!J40</f>
        <v>1.2703529166641133E-2</v>
      </c>
      <c r="K717" s="271">
        <f>K704/BS!K40</f>
        <v>9.4947258591950752E-3</v>
      </c>
      <c r="M717" s="272">
        <f t="shared" si="222"/>
        <v>2.189299511626212E-2</v>
      </c>
      <c r="N717" s="272">
        <f t="shared" si="223"/>
        <v>2.4427410195167917E-2</v>
      </c>
    </row>
    <row r="718" spans="2:14">
      <c r="B718" s="21" t="s">
        <v>604</v>
      </c>
      <c r="C718" s="271">
        <f>C704/'P&amp;L'!C36</f>
        <v>2.6105116602854151E-3</v>
      </c>
      <c r="D718" s="271">
        <f>D704/'P&amp;L'!D36</f>
        <v>3.7538877620013525E-2</v>
      </c>
      <c r="E718" s="271">
        <f>E704/'P&amp;L'!E36</f>
        <v>9.2026981732864069E-2</v>
      </c>
      <c r="F718" s="271">
        <f>F704/'P&amp;L'!F36</f>
        <v>0.17203451628585315</v>
      </c>
      <c r="G718" s="271">
        <f>G704/'P&amp;L'!G36</f>
        <v>0.21073934160820296</v>
      </c>
      <c r="H718" s="271">
        <f>H704/'P&amp;L'!H36</f>
        <v>0.45318228358159657</v>
      </c>
      <c r="I718" s="271">
        <f>I704/'P&amp;L'!I36</f>
        <v>0.16261064941393033</v>
      </c>
      <c r="J718" s="271">
        <f>J704/'P&amp;L'!J36</f>
        <v>7.0813691330190609E-2</v>
      </c>
      <c r="K718" s="271">
        <f>K704/'P&amp;L'!K36</f>
        <v>5.0744644678680728E-2</v>
      </c>
      <c r="M718" s="272">
        <f t="shared" si="222"/>
        <v>9.2026981732864069E-2</v>
      </c>
      <c r="N718" s="272">
        <f t="shared" si="223"/>
        <v>0.1391446108790686</v>
      </c>
    </row>
    <row r="720" spans="2:14">
      <c r="B720" s="14" t="s">
        <v>527</v>
      </c>
      <c r="C720" s="14" t="s">
        <v>235</v>
      </c>
      <c r="E720" t="s">
        <v>609</v>
      </c>
    </row>
    <row r="723" spans="1:14">
      <c r="B723" s="169" t="s">
        <v>592</v>
      </c>
    </row>
    <row r="730" spans="1:14" ht="18">
      <c r="A730" t="s">
        <v>29</v>
      </c>
      <c r="B730" s="219" t="s">
        <v>117</v>
      </c>
      <c r="D730" s="22"/>
    </row>
    <row r="732" spans="1:14">
      <c r="B732" s="14" t="s">
        <v>209</v>
      </c>
      <c r="C732" s="70">
        <v>2016</v>
      </c>
      <c r="D732" s="70">
        <v>2017</v>
      </c>
      <c r="E732" s="70">
        <v>2018</v>
      </c>
      <c r="F732" s="70">
        <v>2019</v>
      </c>
      <c r="G732" s="70">
        <v>2020</v>
      </c>
      <c r="H732" s="70">
        <v>2021</v>
      </c>
      <c r="I732" s="70">
        <v>2022</v>
      </c>
      <c r="J732" s="70">
        <v>2023</v>
      </c>
      <c r="K732" s="70">
        <v>2024</v>
      </c>
      <c r="M732" s="14" t="s">
        <v>430</v>
      </c>
      <c r="N732" s="14" t="s">
        <v>361</v>
      </c>
    </row>
    <row r="733" spans="1:14">
      <c r="B733" s="24" t="s">
        <v>595</v>
      </c>
      <c r="C733" s="258">
        <v>4.4117647058823515</v>
      </c>
      <c r="D733" s="258">
        <v>81.64705882352942</v>
      </c>
      <c r="E733" s="258">
        <v>258.41176470588232</v>
      </c>
      <c r="F733" s="258">
        <v>499.58823529411757</v>
      </c>
      <c r="G733" s="258">
        <v>459.41176470588243</v>
      </c>
      <c r="H733" s="258">
        <v>807.11764705882354</v>
      </c>
      <c r="I733" s="258">
        <v>353.35294117647061</v>
      </c>
      <c r="J733" s="258">
        <v>243.88235294117646</v>
      </c>
      <c r="K733" s="258">
        <v>219.47058823529414</v>
      </c>
    </row>
    <row r="734" spans="1:14">
      <c r="B734" t="s">
        <v>617</v>
      </c>
      <c r="C734">
        <f>'P&amp;L'!C43</f>
        <v>2.1</v>
      </c>
      <c r="D734">
        <f>'P&amp;L'!D43</f>
        <v>3.6</v>
      </c>
      <c r="E734">
        <f>'P&amp;L'!E43</f>
        <v>5.3</v>
      </c>
      <c r="F734">
        <f>'P&amp;L'!F43</f>
        <v>7.3</v>
      </c>
      <c r="G734">
        <f>'P&amp;L'!G43</f>
        <v>19</v>
      </c>
      <c r="H734">
        <f>'P&amp;L'!H43</f>
        <v>16</v>
      </c>
      <c r="I734">
        <f>'P&amp;L'!I43</f>
        <v>19</v>
      </c>
      <c r="J734">
        <f>'P&amp;L'!J43</f>
        <v>28</v>
      </c>
      <c r="K734">
        <f>'P&amp;L'!K43</f>
        <v>51</v>
      </c>
    </row>
    <row r="735" spans="1:14">
      <c r="B735" t="s">
        <v>618</v>
      </c>
      <c r="C735" s="32">
        <f>C734/C733</f>
        <v>0.4760000000000002</v>
      </c>
      <c r="D735" s="32">
        <f t="shared" ref="D735:K735" si="224">D734/D733</f>
        <v>4.4092219020172907E-2</v>
      </c>
      <c r="E735" s="32">
        <f t="shared" si="224"/>
        <v>2.0509902117004326E-2</v>
      </c>
      <c r="F735" s="32">
        <f t="shared" si="224"/>
        <v>1.4612033439302957E-2</v>
      </c>
      <c r="G735" s="32">
        <f t="shared" si="224"/>
        <v>4.1357234314980784E-2</v>
      </c>
      <c r="H735" s="32">
        <f t="shared" si="224"/>
        <v>1.9823628015450769E-2</v>
      </c>
      <c r="I735" s="32">
        <f t="shared" si="224"/>
        <v>5.3770600965540198E-2</v>
      </c>
      <c r="J735" s="32">
        <f t="shared" si="224"/>
        <v>0.11480945489628558</v>
      </c>
      <c r="K735" s="32">
        <f t="shared" si="224"/>
        <v>0.23237737871884209</v>
      </c>
      <c r="M735" s="41">
        <f t="shared" ref="M735" si="225">MEDIAN(C735:K735)</f>
        <v>4.4092219020172907E-2</v>
      </c>
      <c r="N735" s="41">
        <f t="shared" ref="N735" si="226">AVERAGE(C735:K735)</f>
        <v>0.11303916127639775</v>
      </c>
    </row>
    <row r="745" spans="1:15">
      <c r="B745" s="169" t="s">
        <v>619</v>
      </c>
    </row>
    <row r="750" spans="1:15" ht="18">
      <c r="A750" t="s">
        <v>29</v>
      </c>
      <c r="B750" s="219" t="s">
        <v>623</v>
      </c>
    </row>
    <row r="752" spans="1:15">
      <c r="B752" s="14" t="s">
        <v>209</v>
      </c>
      <c r="C752" s="70">
        <v>2016</v>
      </c>
      <c r="D752" s="70">
        <v>2017</v>
      </c>
      <c r="E752" s="70">
        <v>2018</v>
      </c>
      <c r="F752" s="70">
        <v>2019</v>
      </c>
      <c r="G752" s="70">
        <v>2020</v>
      </c>
      <c r="H752" s="70">
        <v>2021</v>
      </c>
      <c r="I752" s="70">
        <v>2022</v>
      </c>
      <c r="J752" s="70">
        <v>2023</v>
      </c>
      <c r="K752" s="70">
        <v>2024</v>
      </c>
      <c r="L752" s="70">
        <v>2025</v>
      </c>
      <c r="N752" s="14" t="s">
        <v>430</v>
      </c>
      <c r="O752" s="14" t="s">
        <v>361</v>
      </c>
    </row>
    <row r="753" spans="1:15">
      <c r="B753" s="266" t="s">
        <v>625</v>
      </c>
      <c r="C753" s="276">
        <v>0.2</v>
      </c>
      <c r="D753" s="276">
        <v>0.16</v>
      </c>
      <c r="E753" s="276">
        <v>0.15</v>
      </c>
      <c r="F753" s="276">
        <v>0.15</v>
      </c>
      <c r="G753" s="276">
        <v>0.19</v>
      </c>
      <c r="H753" s="276">
        <v>0.34</v>
      </c>
      <c r="I753" s="276">
        <v>0.34</v>
      </c>
      <c r="J753" s="276">
        <v>0.35</v>
      </c>
      <c r="K753" s="276">
        <v>0.35</v>
      </c>
      <c r="L753" s="276">
        <v>0.41</v>
      </c>
    </row>
    <row r="754" spans="1:15">
      <c r="B754" t="s">
        <v>624</v>
      </c>
      <c r="C754">
        <f>'P&amp;L'!C49</f>
        <v>1338</v>
      </c>
      <c r="D754">
        <f>'P&amp;L'!D49</f>
        <v>1713</v>
      </c>
      <c r="E754">
        <f>'P&amp;L'!E49</f>
        <v>2180</v>
      </c>
      <c r="F754">
        <f>'P&amp;L'!F49</f>
        <v>2220</v>
      </c>
      <c r="G754">
        <f>'P&amp;L'!G49</f>
        <v>1828</v>
      </c>
      <c r="H754">
        <f>'P&amp;L'!H49</f>
        <v>1346</v>
      </c>
      <c r="I754">
        <f>'P&amp;L'!I49</f>
        <v>1677</v>
      </c>
      <c r="J754">
        <f>'P&amp;L'!J49</f>
        <v>2914</v>
      </c>
      <c r="K754">
        <f>'P&amp;L'!K49</f>
        <v>4001</v>
      </c>
      <c r="L754" s="208">
        <f>'3 Statement Model'!I10</f>
        <v>18870.8832</v>
      </c>
    </row>
    <row r="755" spans="1:15">
      <c r="B755" t="s">
        <v>626</v>
      </c>
      <c r="C755" s="208">
        <f>C753*C754</f>
        <v>267.60000000000002</v>
      </c>
      <c r="D755" s="208">
        <f t="shared" ref="D755:L755" si="227">D753*D754</f>
        <v>274.08</v>
      </c>
      <c r="E755" s="208">
        <f t="shared" si="227"/>
        <v>327</v>
      </c>
      <c r="F755" s="208">
        <f t="shared" si="227"/>
        <v>333</v>
      </c>
      <c r="G755" s="208">
        <f t="shared" si="227"/>
        <v>347.32</v>
      </c>
      <c r="H755" s="208">
        <f t="shared" si="227"/>
        <v>457.64000000000004</v>
      </c>
      <c r="I755" s="208">
        <f t="shared" si="227"/>
        <v>570.18000000000006</v>
      </c>
      <c r="J755" s="208">
        <f t="shared" si="227"/>
        <v>1019.9</v>
      </c>
      <c r="K755" s="208">
        <f t="shared" si="227"/>
        <v>1400.35</v>
      </c>
      <c r="L755" s="208">
        <f t="shared" si="227"/>
        <v>7737.0621119999996</v>
      </c>
    </row>
    <row r="757" spans="1:15">
      <c r="B757" s="21" t="s">
        <v>627</v>
      </c>
      <c r="C757" s="29">
        <f>C755/C754</f>
        <v>0.2</v>
      </c>
      <c r="D757" s="29">
        <f t="shared" ref="D757:L757" si="228">D755/D754</f>
        <v>0.16</v>
      </c>
      <c r="E757" s="29">
        <f t="shared" si="228"/>
        <v>0.15</v>
      </c>
      <c r="F757" s="29">
        <f t="shared" si="228"/>
        <v>0.15</v>
      </c>
      <c r="G757" s="29">
        <f t="shared" si="228"/>
        <v>0.19</v>
      </c>
      <c r="H757" s="29">
        <f t="shared" si="228"/>
        <v>0.34</v>
      </c>
      <c r="I757" s="29">
        <f t="shared" si="228"/>
        <v>0.34</v>
      </c>
      <c r="J757" s="29">
        <f t="shared" si="228"/>
        <v>0.35</v>
      </c>
      <c r="K757" s="29">
        <f t="shared" si="228"/>
        <v>0.35</v>
      </c>
      <c r="L757" s="29">
        <f t="shared" si="228"/>
        <v>0.41</v>
      </c>
      <c r="N757" s="41">
        <f>MEDIAN(C757:L757)</f>
        <v>0.27</v>
      </c>
      <c r="O757" s="41">
        <f>AVERAGE(C757:L757)</f>
        <v>0.26400000000000007</v>
      </c>
    </row>
    <row r="759" spans="1:15">
      <c r="B759" t="s">
        <v>21</v>
      </c>
      <c r="C759" s="208">
        <f>C754-C755</f>
        <v>1070.4000000000001</v>
      </c>
      <c r="D759" s="208">
        <f t="shared" ref="D759:L759" si="229">D754-D755</f>
        <v>1438.92</v>
      </c>
      <c r="E759" s="208">
        <f t="shared" si="229"/>
        <v>1853</v>
      </c>
      <c r="F759" s="208">
        <f t="shared" si="229"/>
        <v>1887</v>
      </c>
      <c r="G759" s="208">
        <f t="shared" si="229"/>
        <v>1480.68</v>
      </c>
      <c r="H759" s="208">
        <f t="shared" si="229"/>
        <v>888.3599999999999</v>
      </c>
      <c r="I759" s="208">
        <f t="shared" si="229"/>
        <v>1106.82</v>
      </c>
      <c r="J759" s="208">
        <f t="shared" si="229"/>
        <v>1894.1</v>
      </c>
      <c r="K759" s="208">
        <f t="shared" si="229"/>
        <v>2600.65</v>
      </c>
      <c r="L759" s="208">
        <f t="shared" si="229"/>
        <v>11133.821088000001</v>
      </c>
    </row>
    <row r="760" spans="1:15">
      <c r="C760" s="208"/>
      <c r="D760" s="208"/>
      <c r="E760" s="208"/>
      <c r="F760" s="208"/>
      <c r="G760" s="208"/>
      <c r="H760" s="208"/>
      <c r="I760" s="208"/>
      <c r="J760" s="208"/>
      <c r="K760" s="208"/>
      <c r="L760" s="208"/>
    </row>
    <row r="761" spans="1:15">
      <c r="B761" s="169" t="s">
        <v>619</v>
      </c>
      <c r="C761" s="208"/>
      <c r="D761" s="208"/>
      <c r="E761" s="208"/>
      <c r="F761" s="208"/>
      <c r="G761" s="208"/>
      <c r="H761" s="208"/>
      <c r="I761" s="208"/>
      <c r="J761" s="208"/>
      <c r="K761" s="208"/>
      <c r="L761" s="208"/>
    </row>
    <row r="762" spans="1:15">
      <c r="C762" s="208"/>
      <c r="D762" s="208"/>
      <c r="E762" s="208"/>
      <c r="F762" s="208"/>
      <c r="G762" s="208"/>
      <c r="H762" s="208"/>
      <c r="I762" s="208"/>
      <c r="J762" s="208"/>
      <c r="K762" s="208"/>
      <c r="L762" s="208"/>
    </row>
    <row r="765" spans="1:15" ht="18">
      <c r="A765" t="s">
        <v>29</v>
      </c>
      <c r="B765" s="219" t="s">
        <v>629</v>
      </c>
      <c r="C765" s="219"/>
      <c r="D765" s="219"/>
      <c r="E765" s="219"/>
    </row>
    <row r="767" spans="1:15">
      <c r="B767" s="14" t="s">
        <v>209</v>
      </c>
      <c r="C767" s="70">
        <v>2016</v>
      </c>
      <c r="D767" s="70">
        <v>2017</v>
      </c>
      <c r="E767" s="70">
        <v>2018</v>
      </c>
      <c r="F767" s="70">
        <v>2019</v>
      </c>
      <c r="G767" s="70">
        <v>2020</v>
      </c>
      <c r="H767" s="70">
        <v>2021</v>
      </c>
      <c r="I767" s="70">
        <v>2022</v>
      </c>
      <c r="J767" s="70">
        <v>2023</v>
      </c>
      <c r="K767" s="70">
        <v>2024</v>
      </c>
    </row>
    <row r="768" spans="1:15">
      <c r="B768" t="str">
        <f>BS!B54</f>
        <v>Short Term Provisions</v>
      </c>
      <c r="C768" s="208">
        <f>BS!C54</f>
        <v>-34.238562091503269</v>
      </c>
      <c r="D768" s="208">
        <f>BS!D54</f>
        <v>-7.6209150326797364</v>
      </c>
      <c r="E768" s="208">
        <f>BS!E54</f>
        <v>103.97254901960785</v>
      </c>
      <c r="F768" s="208">
        <f>BS!F54</f>
        <v>280.02745098039213</v>
      </c>
      <c r="G768" s="208">
        <f>BS!G54</f>
        <v>225.3169934640523</v>
      </c>
      <c r="H768" s="208">
        <f>BS!H54</f>
        <v>439.68104575163397</v>
      </c>
      <c r="I768" s="208">
        <f>BS!I54</f>
        <v>322.95424836601308</v>
      </c>
      <c r="J768" s="208">
        <f>BS!J54</f>
        <v>258.67450980392164</v>
      </c>
      <c r="K768" s="208">
        <f>BS!K54</f>
        <v>128.89084967320258</v>
      </c>
    </row>
    <row r="769" spans="1:14">
      <c r="B769" t="str">
        <f>BS!B55</f>
        <v>Provision for Tax</v>
      </c>
      <c r="C769" s="208">
        <f>BS!C55</f>
        <v>-60.238562091503269</v>
      </c>
      <c r="D769" s="208">
        <f>BS!D55</f>
        <v>-49.620915032679733</v>
      </c>
      <c r="E769" s="208">
        <f>BS!E55</f>
        <v>56.972549019607854</v>
      </c>
      <c r="F769" s="208">
        <f>BS!F55</f>
        <v>222.02745098039213</v>
      </c>
      <c r="G769" s="208">
        <f>BS!G55</f>
        <v>151.3169934640523</v>
      </c>
      <c r="H769" s="208">
        <f>BS!H55</f>
        <v>349.68104575163397</v>
      </c>
      <c r="I769" s="208">
        <f>BS!I55</f>
        <v>201.95424836601308</v>
      </c>
      <c r="J769" s="208">
        <f>BS!J55</f>
        <v>103.67450980392161</v>
      </c>
      <c r="K769" s="208">
        <f>BS!K55</f>
        <v>28.890849673202567</v>
      </c>
    </row>
    <row r="770" spans="1:14">
      <c r="B770" t="str">
        <f>BS!B56</f>
        <v>Other Provisions</v>
      </c>
      <c r="C770" s="208">
        <f>BS!C56</f>
        <v>-34.238562091503269</v>
      </c>
      <c r="D770" s="208">
        <f>BS!D56</f>
        <v>-44.620915032679733</v>
      </c>
      <c r="E770" s="208">
        <f>BS!E56</f>
        <v>-4.0274509803921461</v>
      </c>
      <c r="F770" s="208">
        <f>BS!F56</f>
        <v>139.02745098039213</v>
      </c>
      <c r="G770" s="208">
        <f>BS!G56</f>
        <v>135.3169934640523</v>
      </c>
      <c r="H770" s="208">
        <f>BS!H56</f>
        <v>308.68104575163397</v>
      </c>
      <c r="I770" s="208">
        <f>BS!I56</f>
        <v>152.95424836601308</v>
      </c>
      <c r="J770" s="208">
        <f>BS!J56</f>
        <v>35.674509803921609</v>
      </c>
      <c r="K770" s="208">
        <f>BS!K56</f>
        <v>-83.109150326797433</v>
      </c>
    </row>
    <row r="771" spans="1:14">
      <c r="B771" t="str">
        <f>BS!B57</f>
        <v>Other Current Liabilities</v>
      </c>
      <c r="C771" s="208">
        <f>BS!C57</f>
        <v>372.7614379084967</v>
      </c>
      <c r="D771" s="208">
        <f>BS!D57</f>
        <v>484.37908496732024</v>
      </c>
      <c r="E771" s="208">
        <f>BS!E57</f>
        <v>735.97254901960787</v>
      </c>
      <c r="F771" s="208">
        <f>BS!F57</f>
        <v>559.02745098039213</v>
      </c>
      <c r="G771" s="208">
        <f>BS!G57</f>
        <v>764.3169934640523</v>
      </c>
      <c r="H771" s="208">
        <f>BS!H57</f>
        <v>955.68104575163397</v>
      </c>
      <c r="I771" s="208">
        <f>BS!I57</f>
        <v>784.95424836601319</v>
      </c>
      <c r="J771" s="208">
        <f>BS!J57</f>
        <v>793.67450980392164</v>
      </c>
      <c r="K771" s="208">
        <f>BS!K57</f>
        <v>901.89084967320264</v>
      </c>
    </row>
    <row r="772" spans="1:14">
      <c r="B772" t="str">
        <f>BS!B58</f>
        <v>Bank Overdraft / Short term credit</v>
      </c>
      <c r="C772" s="208">
        <f>BS!C58</f>
        <v>-53.738562091503269</v>
      </c>
      <c r="D772" s="208">
        <f>BS!D58</f>
        <v>-84.92091503267973</v>
      </c>
      <c r="E772" s="208">
        <f>BS!E58</f>
        <v>-51.027450980392146</v>
      </c>
      <c r="F772" s="208">
        <f>BS!F58</f>
        <v>81.027450980392132</v>
      </c>
      <c r="G772" s="208">
        <f>BS!G58</f>
        <v>61.316993464052302</v>
      </c>
      <c r="H772" s="208">
        <f>BS!H58</f>
        <v>218.68104575163397</v>
      </c>
      <c r="I772" s="208">
        <f>BS!I58</f>
        <v>30.954248366013076</v>
      </c>
      <c r="J772" s="208">
        <f>BS!J58</f>
        <v>-119.32549019607839</v>
      </c>
      <c r="K772" s="208">
        <f>BS!K58</f>
        <v>-183.10915032679742</v>
      </c>
    </row>
    <row r="773" spans="1:14">
      <c r="B773" t="str">
        <f>BS!B59</f>
        <v>Advances received from customers</v>
      </c>
      <c r="C773" s="208">
        <f>BS!C59</f>
        <v>181.76143790849673</v>
      </c>
      <c r="D773" s="208">
        <f>BS!D59</f>
        <v>204.37908496732024</v>
      </c>
      <c r="E773" s="208">
        <f>BS!E59</f>
        <v>369.97254901960781</v>
      </c>
      <c r="F773" s="208">
        <f>BS!F59</f>
        <v>252.02745098039213</v>
      </c>
      <c r="G773" s="208">
        <f>BS!G59</f>
        <v>472.3169934640523</v>
      </c>
      <c r="H773" s="208">
        <f>BS!H59</f>
        <v>583.68104575163397</v>
      </c>
      <c r="I773" s="208">
        <f>BS!I59</f>
        <v>348.95424836601308</v>
      </c>
      <c r="J773" s="208">
        <f>BS!J59</f>
        <v>186.67450980392161</v>
      </c>
      <c r="K773" s="208">
        <f>BS!K59</f>
        <v>79.890849673202567</v>
      </c>
    </row>
    <row r="774" spans="1:14">
      <c r="B774" t="str">
        <f>BS!B60</f>
        <v>Interest Accrued But Not Due</v>
      </c>
      <c r="C774" s="208">
        <f>BS!C60</f>
        <v>-60.238562091503269</v>
      </c>
      <c r="D774" s="208">
        <f>BS!D60</f>
        <v>-87.320915032679736</v>
      </c>
      <c r="E774" s="208">
        <f>BS!E60</f>
        <v>-50.427450980392152</v>
      </c>
      <c r="F774" s="208">
        <f>BS!F60</f>
        <v>82.427450980392138</v>
      </c>
      <c r="G774" s="208">
        <f>BS!G60</f>
        <v>63.816993464052302</v>
      </c>
      <c r="H774" s="208">
        <f>BS!H60</f>
        <v>221.08104575163398</v>
      </c>
      <c r="I774" s="208">
        <f>BS!I60</f>
        <v>30.954248366013076</v>
      </c>
      <c r="J774" s="208">
        <f>BS!J60</f>
        <v>-118.92549019607839</v>
      </c>
      <c r="K774" s="208">
        <f>BS!K60</f>
        <v>-183.00915032679745</v>
      </c>
    </row>
    <row r="775" spans="1:14">
      <c r="B775" t="str">
        <f>BS!B61</f>
        <v>Other Liabilities</v>
      </c>
      <c r="C775" s="208">
        <f>BS!C61</f>
        <v>110.26143790849672</v>
      </c>
      <c r="D775" s="208">
        <f>BS!D61</f>
        <v>232.87908496732024</v>
      </c>
      <c r="E775" s="208">
        <f>BS!E61</f>
        <v>-215.52745098039219</v>
      </c>
      <c r="F775" s="208">
        <f>BS!F61</f>
        <v>-1002.4725490196079</v>
      </c>
      <c r="G775" s="208">
        <f>BS!G61</f>
        <v>-1052.6830065359477</v>
      </c>
      <c r="H775" s="208">
        <f>BS!H61</f>
        <v>-2248.818954248366</v>
      </c>
      <c r="I775" s="208">
        <f>BS!I61</f>
        <v>-865.04575163398692</v>
      </c>
      <c r="J775" s="208">
        <f>BS!J61</f>
        <v>201.67450980392158</v>
      </c>
      <c r="K775" s="208">
        <f>BS!K61</f>
        <v>703.39084967320264</v>
      </c>
    </row>
    <row r="776" spans="1:14">
      <c r="B776" s="24" t="s">
        <v>630</v>
      </c>
      <c r="C776" s="258">
        <f>SUM(C768:C775)</f>
        <v>422.09150326797379</v>
      </c>
      <c r="D776" s="258">
        <f t="shared" ref="D776:K776" si="230">SUM(D768:D775)</f>
        <v>647.53267973856214</v>
      </c>
      <c r="E776" s="258">
        <f t="shared" si="230"/>
        <v>945.88039215686285</v>
      </c>
      <c r="F776" s="258">
        <f t="shared" si="230"/>
        <v>613.11960784313715</v>
      </c>
      <c r="G776" s="258">
        <f t="shared" si="230"/>
        <v>821.03594771241842</v>
      </c>
      <c r="H776" s="258">
        <f t="shared" si="230"/>
        <v>828.34836601307188</v>
      </c>
      <c r="I776" s="258">
        <f t="shared" si="230"/>
        <v>1008.6339869281043</v>
      </c>
      <c r="J776" s="258">
        <f t="shared" si="230"/>
        <v>1341.796078431373</v>
      </c>
      <c r="K776" s="258">
        <f t="shared" si="230"/>
        <v>1393.7267973856206</v>
      </c>
    </row>
    <row r="777" spans="1:14">
      <c r="B777" s="22" t="s">
        <v>633</v>
      </c>
      <c r="C777" s="209"/>
      <c r="D777" s="280">
        <f>D776/C776-1</f>
        <v>0.53410498606379719</v>
      </c>
      <c r="E777" s="280">
        <f t="shared" ref="E777:K777" si="231">E776/D776-1</f>
        <v>0.46074541371218047</v>
      </c>
      <c r="F777" s="280">
        <f t="shared" si="231"/>
        <v>-0.35180006592053481</v>
      </c>
      <c r="G777" s="280">
        <f t="shared" si="231"/>
        <v>0.33911220128923913</v>
      </c>
      <c r="H777" s="280">
        <f t="shared" si="231"/>
        <v>8.906331471876916E-3</v>
      </c>
      <c r="I777" s="280">
        <f t="shared" si="231"/>
        <v>0.21764468708107199</v>
      </c>
      <c r="J777" s="280">
        <f t="shared" si="231"/>
        <v>0.33031019757518498</v>
      </c>
      <c r="K777" s="280">
        <f t="shared" si="231"/>
        <v>3.8702392851645007E-2</v>
      </c>
    </row>
    <row r="779" spans="1:14">
      <c r="B779" t="s">
        <v>14</v>
      </c>
      <c r="C779" s="208">
        <f>BS!C40</f>
        <v>5833</v>
      </c>
      <c r="D779" s="208">
        <f>BS!D40</f>
        <v>7009</v>
      </c>
      <c r="E779" s="208">
        <f>BS!E40</f>
        <v>9522</v>
      </c>
      <c r="F779" s="208">
        <f>BS!F40</f>
        <v>11387</v>
      </c>
      <c r="G779" s="208">
        <f>BS!G40</f>
        <v>12450</v>
      </c>
      <c r="H779" s="208">
        <f>BS!H40</f>
        <v>14559</v>
      </c>
      <c r="I779" s="208">
        <f>BS!I40</f>
        <v>16140</v>
      </c>
      <c r="J779" s="208">
        <f>BS!J40</f>
        <v>19198</v>
      </c>
      <c r="K779" s="208">
        <f>BS!K40</f>
        <v>23115</v>
      </c>
    </row>
    <row r="781" spans="1:14">
      <c r="B781" s="277" t="s">
        <v>631</v>
      </c>
      <c r="C781" s="278">
        <f>C776/C779</f>
        <v>7.236267842756279E-2</v>
      </c>
      <c r="D781" s="278">
        <f t="shared" ref="D781:K781" si="232">D776/D779</f>
        <v>9.2385886679777734E-2</v>
      </c>
      <c r="E781" s="278">
        <f t="shared" si="232"/>
        <v>9.9336315076335099E-2</v>
      </c>
      <c r="F781" s="278">
        <f t="shared" si="232"/>
        <v>5.3843822590949081E-2</v>
      </c>
      <c r="G781" s="278">
        <f t="shared" si="232"/>
        <v>6.5946662466860914E-2</v>
      </c>
      <c r="H781" s="278">
        <f t="shared" si="232"/>
        <v>5.6895965795251864E-2</v>
      </c>
      <c r="I781" s="278">
        <f t="shared" si="232"/>
        <v>6.249281207732988E-2</v>
      </c>
      <c r="J781" s="278">
        <f t="shared" si="232"/>
        <v>6.9892492886309665E-2</v>
      </c>
      <c r="K781" s="278">
        <f t="shared" si="232"/>
        <v>6.0295340574761866E-2</v>
      </c>
      <c r="M781" s="279">
        <f>MEDIAN(C781:K781)</f>
        <v>6.5946662466860914E-2</v>
      </c>
      <c r="N781" s="279">
        <f>AVERAGE(C781:K781)</f>
        <v>7.0383552952793207E-2</v>
      </c>
    </row>
    <row r="783" spans="1:14" ht="18">
      <c r="A783" s="159" t="s">
        <v>29</v>
      </c>
      <c r="B783" s="157" t="s">
        <v>636</v>
      </c>
    </row>
    <row r="784" spans="1:14">
      <c r="J784" s="45">
        <f>MEDIAN(C788:K788)</f>
        <v>0.13519241494701617</v>
      </c>
    </row>
    <row r="785" spans="2:17">
      <c r="B785" s="14" t="s">
        <v>209</v>
      </c>
      <c r="C785" s="70">
        <v>2016</v>
      </c>
      <c r="D785" s="70">
        <v>2017</v>
      </c>
      <c r="E785" s="70">
        <v>2018</v>
      </c>
      <c r="F785" s="70">
        <v>2019</v>
      </c>
      <c r="G785" s="70">
        <v>2020</v>
      </c>
      <c r="H785" s="70">
        <v>2021</v>
      </c>
      <c r="I785" s="70">
        <v>2022</v>
      </c>
      <c r="J785" s="70">
        <v>2023</v>
      </c>
      <c r="K785" s="70">
        <v>2024</v>
      </c>
      <c r="L785" s="70">
        <f>K785+1</f>
        <v>2025</v>
      </c>
      <c r="M785" s="70">
        <f t="shared" ref="M785:P785" si="233">L785+1</f>
        <v>2026</v>
      </c>
      <c r="N785" s="70">
        <f t="shared" si="233"/>
        <v>2027</v>
      </c>
      <c r="O785" s="70">
        <f t="shared" si="233"/>
        <v>2028</v>
      </c>
      <c r="P785" s="70">
        <f t="shared" si="233"/>
        <v>2029</v>
      </c>
      <c r="Q785" s="70">
        <f>P785+1</f>
        <v>2030</v>
      </c>
    </row>
    <row r="786" spans="2:17">
      <c r="B786" t="s">
        <v>576</v>
      </c>
      <c r="C786" s="208">
        <f>BS!C26</f>
        <v>49</v>
      </c>
      <c r="D786" s="208">
        <f>BS!D26</f>
        <v>25</v>
      </c>
      <c r="E786" s="208">
        <f>BS!E26</f>
        <v>1212</v>
      </c>
      <c r="F786" s="208">
        <f>BS!F26</f>
        <v>2965</v>
      </c>
      <c r="G786" s="208">
        <f>BS!G26</f>
        <v>2951</v>
      </c>
      <c r="H786" s="208">
        <f>BS!H26</f>
        <v>5830</v>
      </c>
      <c r="I786" s="208">
        <f>BS!I26</f>
        <v>2722</v>
      </c>
      <c r="J786" s="208">
        <f>BS!J26</f>
        <v>766</v>
      </c>
      <c r="K786" s="208">
        <f>BS!K26</f>
        <v>146</v>
      </c>
      <c r="L786" s="252">
        <f>'3 Statement Model'!I47</f>
        <v>8085.7359026782578</v>
      </c>
      <c r="M786" s="252">
        <f>'3 Statement Model'!J47</f>
        <v>8545.1597074226847</v>
      </c>
      <c r="N786" s="252">
        <f>'3 Statement Model'!K47</f>
        <v>7826.6453590138954</v>
      </c>
      <c r="O786" s="252">
        <f>'3 Statement Model'!L47</f>
        <v>8480.9972165061372</v>
      </c>
      <c r="P786" s="252">
        <f>'3 Statement Model'!M47</f>
        <v>9608.8893804865584</v>
      </c>
      <c r="Q786" s="252">
        <f>'3 Statement Model'!N47</f>
        <v>11396.184380135332</v>
      </c>
    </row>
    <row r="787" spans="2:17">
      <c r="B787" t="s">
        <v>43</v>
      </c>
      <c r="C787" s="208">
        <f>'P&amp;L'!C3</f>
        <v>6173</v>
      </c>
      <c r="D787" s="208">
        <f>'P&amp;L'!D3</f>
        <v>7033</v>
      </c>
      <c r="E787" s="208">
        <f>'P&amp;L'!E3</f>
        <v>8965</v>
      </c>
      <c r="F787" s="208">
        <f>'P&amp;L'!F3</f>
        <v>9797</v>
      </c>
      <c r="G787" s="208">
        <f>'P&amp;L'!G3</f>
        <v>9154</v>
      </c>
      <c r="H787" s="208">
        <f>'P&amp;L'!H3</f>
        <v>8720</v>
      </c>
      <c r="I787" s="208">
        <f>'P&amp;L'!I3</f>
        <v>10298</v>
      </c>
      <c r="J787" s="208">
        <f>'P&amp;L'!J3</f>
        <v>14442</v>
      </c>
      <c r="K787" s="208">
        <f>'P&amp;L'!K3</f>
        <v>16536</v>
      </c>
      <c r="L787" s="252">
        <f>'3 Statement Model'!I10</f>
        <v>18870.8832</v>
      </c>
      <c r="M787" s="252">
        <f>'3 Statement Model'!J10</f>
        <v>21701.515679999997</v>
      </c>
      <c r="N787" s="252">
        <f>'3 Statement Model'!K10</f>
        <v>25390.773345599995</v>
      </c>
      <c r="O787" s="252">
        <f>'3 Statement Model'!L10</f>
        <v>28776.209791679994</v>
      </c>
      <c r="P787" s="252">
        <f>'3 Statement Model'!M10</f>
        <v>31557.910071542392</v>
      </c>
      <c r="Q787" s="252">
        <f>'3 Statement Model'!N10</f>
        <v>33451.384675834939</v>
      </c>
    </row>
    <row r="788" spans="2:17">
      <c r="B788" s="40" t="s">
        <v>637</v>
      </c>
      <c r="C788" s="202">
        <f>C786/C787</f>
        <v>7.9377936173659486E-3</v>
      </c>
      <c r="D788" s="202">
        <f t="shared" ref="D788:Q788" si="234">D786/D787</f>
        <v>3.5546708374804494E-3</v>
      </c>
      <c r="E788" s="202">
        <f t="shared" si="234"/>
        <v>0.13519241494701617</v>
      </c>
      <c r="F788" s="202">
        <f t="shared" si="234"/>
        <v>0.30264366642849849</v>
      </c>
      <c r="G788" s="202">
        <f t="shared" si="234"/>
        <v>0.32237273323137428</v>
      </c>
      <c r="H788" s="202">
        <f t="shared" si="234"/>
        <v>0.66857798165137616</v>
      </c>
      <c r="I788" s="202">
        <f t="shared" si="234"/>
        <v>0.26432316954748497</v>
      </c>
      <c r="J788" s="202">
        <f t="shared" si="234"/>
        <v>5.303974518764714E-2</v>
      </c>
      <c r="K788" s="202">
        <f t="shared" si="234"/>
        <v>8.8292210933720375E-3</v>
      </c>
      <c r="L788" s="233">
        <f t="shared" si="234"/>
        <v>0.42847681356420336</v>
      </c>
      <c r="M788" s="233">
        <f t="shared" si="234"/>
        <v>0.3937586587695282</v>
      </c>
      <c r="N788" s="233">
        <f t="shared" si="234"/>
        <v>0.30824761626924557</v>
      </c>
      <c r="O788" s="233">
        <f t="shared" si="234"/>
        <v>0.29472252523535014</v>
      </c>
      <c r="P788" s="233">
        <f t="shared" si="234"/>
        <v>0.30448433875066572</v>
      </c>
      <c r="Q788" s="233">
        <f t="shared" si="234"/>
        <v>0.34067900299409309</v>
      </c>
    </row>
    <row r="789" spans="2:17">
      <c r="B789" s="21" t="s">
        <v>430</v>
      </c>
      <c r="C789" s="314">
        <f>MEDIAN(C788:K788)</f>
        <v>0.13519241494701617</v>
      </c>
      <c r="L789" s="26"/>
      <c r="M789" s="26"/>
      <c r="N789" s="26"/>
      <c r="O789" s="26"/>
      <c r="P789" s="26"/>
      <c r="Q789" s="26"/>
    </row>
    <row r="790" spans="2:17">
      <c r="B790" t="s">
        <v>14</v>
      </c>
      <c r="C790" s="208">
        <f>BS!C40</f>
        <v>5833</v>
      </c>
      <c r="D790" s="208">
        <f>BS!D40</f>
        <v>7009</v>
      </c>
      <c r="E790" s="208">
        <f>BS!E40</f>
        <v>9522</v>
      </c>
      <c r="F790" s="208">
        <f>BS!F40</f>
        <v>11387</v>
      </c>
      <c r="G790" s="208">
        <f>BS!G40</f>
        <v>12450</v>
      </c>
      <c r="H790" s="208">
        <f>BS!H40</f>
        <v>14559</v>
      </c>
      <c r="I790" s="208">
        <f>BS!I40</f>
        <v>16140</v>
      </c>
      <c r="J790" s="208">
        <f>BS!J40</f>
        <v>19198</v>
      </c>
      <c r="K790" s="208">
        <f>BS!K40</f>
        <v>23115</v>
      </c>
      <c r="L790" s="252">
        <f>'3 Statement Model'!I62</f>
        <v>28355.480734371409</v>
      </c>
      <c r="M790" s="252">
        <f>'3 Statement Model'!J62</f>
        <v>31689.177512123075</v>
      </c>
      <c r="N790" s="252">
        <f>'3 Statement Model'!K62</f>
        <v>35644.416995919324</v>
      </c>
      <c r="O790" s="252">
        <f>'3 Statement Model'!L62</f>
        <v>39752.408227877851</v>
      </c>
      <c r="P790" s="252">
        <f>'3 Statement Model'!M62</f>
        <v>43740.083616891148</v>
      </c>
      <c r="Q790" s="252">
        <f>'3 Statement Model'!N62</f>
        <v>47369.118516243994</v>
      </c>
    </row>
    <row r="791" spans="2:17">
      <c r="B791" s="40" t="s">
        <v>638</v>
      </c>
      <c r="C791" s="32">
        <f>C786/C790</f>
        <v>8.4004800274301381E-3</v>
      </c>
      <c r="D791" s="32">
        <f t="shared" ref="D791:Q791" si="235">D786/D790</f>
        <v>3.5668426309031246E-3</v>
      </c>
      <c r="E791" s="32">
        <f t="shared" si="235"/>
        <v>0.12728418399495905</v>
      </c>
      <c r="F791" s="32">
        <f t="shared" si="235"/>
        <v>0.26038464916132431</v>
      </c>
      <c r="G791" s="32">
        <f t="shared" si="235"/>
        <v>0.23702811244979918</v>
      </c>
      <c r="H791" s="32">
        <f t="shared" si="235"/>
        <v>0.4004395906312247</v>
      </c>
      <c r="I791" s="32">
        <f t="shared" si="235"/>
        <v>0.16864931846344486</v>
      </c>
      <c r="J791" s="32">
        <f t="shared" si="235"/>
        <v>3.9899989582248149E-2</v>
      </c>
      <c r="K791" s="32">
        <f t="shared" si="235"/>
        <v>6.3162448626433053E-3</v>
      </c>
      <c r="L791" s="27">
        <f t="shared" si="235"/>
        <v>0.28515601546042713</v>
      </c>
      <c r="M791" s="27">
        <f t="shared" si="235"/>
        <v>0.26965545900185106</v>
      </c>
      <c r="N791" s="27">
        <f t="shared" si="235"/>
        <v>0.21957563115452028</v>
      </c>
      <c r="O791" s="27">
        <f t="shared" si="235"/>
        <v>0.21334549514307219</v>
      </c>
      <c r="P791" s="27">
        <f t="shared" si="235"/>
        <v>0.21968155032917872</v>
      </c>
      <c r="Q791" s="27">
        <f t="shared" si="235"/>
        <v>0.24058257229818009</v>
      </c>
    </row>
    <row r="792" spans="2:17">
      <c r="L792" s="26"/>
      <c r="M792" s="26"/>
      <c r="N792" s="26"/>
      <c r="O792" s="26"/>
      <c r="P792" s="26"/>
      <c r="Q792" s="26"/>
    </row>
    <row r="793" spans="2:17">
      <c r="B793" t="s">
        <v>666</v>
      </c>
      <c r="C793" s="45">
        <f>C788</f>
        <v>7.9377936173659486E-3</v>
      </c>
      <c r="D793" s="45">
        <f t="shared" ref="D793:K793" si="236">D788</f>
        <v>3.5546708374804494E-3</v>
      </c>
      <c r="E793" s="45">
        <f t="shared" si="236"/>
        <v>0.13519241494701617</v>
      </c>
      <c r="F793" s="45">
        <f t="shared" si="236"/>
        <v>0.30264366642849849</v>
      </c>
      <c r="G793" s="45">
        <f t="shared" si="236"/>
        <v>0.32237273323137428</v>
      </c>
      <c r="H793" s="45">
        <f t="shared" si="236"/>
        <v>0.66857798165137616</v>
      </c>
      <c r="I793" s="45">
        <f t="shared" si="236"/>
        <v>0.26432316954748497</v>
      </c>
      <c r="J793" s="45">
        <f t="shared" si="236"/>
        <v>5.303974518764714E-2</v>
      </c>
      <c r="K793" s="45">
        <f t="shared" si="236"/>
        <v>8.8292210933720375E-3</v>
      </c>
      <c r="L793" s="94">
        <f>$C$789</f>
        <v>0.13519241494701617</v>
      </c>
      <c r="M793" s="94">
        <f t="shared" ref="M793:Q793" si="237">$C$789</f>
        <v>0.13519241494701617</v>
      </c>
      <c r="N793" s="94">
        <f t="shared" si="237"/>
        <v>0.13519241494701617</v>
      </c>
      <c r="O793" s="94">
        <f t="shared" si="237"/>
        <v>0.13519241494701617</v>
      </c>
      <c r="P793" s="94">
        <f t="shared" si="237"/>
        <v>0.13519241494701617</v>
      </c>
      <c r="Q793" s="94">
        <f t="shared" si="237"/>
        <v>0.13519241494701617</v>
      </c>
    </row>
    <row r="794" spans="2:17">
      <c r="B794" t="s">
        <v>665</v>
      </c>
      <c r="C794">
        <f>C793*C787</f>
        <v>49</v>
      </c>
      <c r="D794">
        <f t="shared" ref="D794:Q794" si="238">D793*D787</f>
        <v>25</v>
      </c>
      <c r="E794">
        <f t="shared" si="238"/>
        <v>1212</v>
      </c>
      <c r="F794">
        <f t="shared" si="238"/>
        <v>2964.9999999999995</v>
      </c>
      <c r="G794">
        <f t="shared" si="238"/>
        <v>2951</v>
      </c>
      <c r="H794">
        <f t="shared" si="238"/>
        <v>5830</v>
      </c>
      <c r="I794">
        <f t="shared" si="238"/>
        <v>2722.0000000000005</v>
      </c>
      <c r="J794">
        <f t="shared" si="238"/>
        <v>766</v>
      </c>
      <c r="K794">
        <f t="shared" si="238"/>
        <v>146</v>
      </c>
      <c r="L794" s="252">
        <f t="shared" si="238"/>
        <v>2551.2002719910765</v>
      </c>
      <c r="M794" s="252">
        <f t="shared" si="238"/>
        <v>2933.8803127897372</v>
      </c>
      <c r="N794" s="252">
        <f t="shared" si="238"/>
        <v>3432.6399659639924</v>
      </c>
      <c r="O794" s="252">
        <f t="shared" si="238"/>
        <v>3890.3252947591914</v>
      </c>
      <c r="P794" s="252">
        <f t="shared" si="238"/>
        <v>4266.3900732525799</v>
      </c>
      <c r="Q794" s="252">
        <f t="shared" si="238"/>
        <v>4522.3734776477349</v>
      </c>
    </row>
    <row r="795" spans="2:17">
      <c r="B795" t="s">
        <v>667</v>
      </c>
      <c r="C795" s="208">
        <f>C786-C794</f>
        <v>0</v>
      </c>
      <c r="D795" s="208">
        <f t="shared" ref="D795:Q795" si="239">D786-D794</f>
        <v>0</v>
      </c>
      <c r="E795" s="208">
        <f t="shared" si="239"/>
        <v>0</v>
      </c>
      <c r="F795" s="208">
        <f t="shared" si="239"/>
        <v>0</v>
      </c>
      <c r="G795" s="208">
        <f t="shared" si="239"/>
        <v>0</v>
      </c>
      <c r="H795" s="208">
        <f t="shared" si="239"/>
        <v>0</v>
      </c>
      <c r="I795" s="208">
        <f t="shared" si="239"/>
        <v>0</v>
      </c>
      <c r="J795" s="208">
        <f t="shared" si="239"/>
        <v>0</v>
      </c>
      <c r="K795" s="208">
        <f t="shared" si="239"/>
        <v>0</v>
      </c>
      <c r="L795" s="252">
        <f t="shared" si="239"/>
        <v>5534.5356306871818</v>
      </c>
      <c r="M795" s="252">
        <f t="shared" si="239"/>
        <v>5611.2793946329475</v>
      </c>
      <c r="N795" s="252">
        <f t="shared" si="239"/>
        <v>4394.0053930499034</v>
      </c>
      <c r="O795" s="252">
        <f t="shared" si="239"/>
        <v>4590.6719217469454</v>
      </c>
      <c r="P795" s="252">
        <f t="shared" si="239"/>
        <v>5342.4993072339785</v>
      </c>
      <c r="Q795" s="252">
        <f t="shared" si="239"/>
        <v>6873.8109024875966</v>
      </c>
    </row>
  </sheetData>
  <sheetProtection algorithmName="SHA-512" hashValue="uDXMc8jL9kwTRVAnmuv8MqMDjQYm5n7t1Zk7oVpnf+igoTyaSoEfP5v3EjizeR/RdJEUigpfcwJrov4NDa2mwg==" saltValue="AUw2+LPhICv6qpUFJCXvDA==" spinCount="100000" sheet="1" objects="1" scenarios="1"/>
  <mergeCells count="11">
    <mergeCell ref="L601:Q601"/>
    <mergeCell ref="B601:K601"/>
    <mergeCell ref="M5:O5"/>
    <mergeCell ref="B10:D10"/>
    <mergeCell ref="M217:O217"/>
    <mergeCell ref="M270:O270"/>
    <mergeCell ref="L550:Q550"/>
    <mergeCell ref="B550:K550"/>
    <mergeCell ref="M567:O567"/>
    <mergeCell ref="M566:O566"/>
    <mergeCell ref="M457:N457"/>
  </mergeCells>
  <hyperlinks>
    <hyperlink ref="D26" r:id="rId1" xr:uid="{627507BD-CE6D-41CE-A54F-47F681DF7F1E}"/>
    <hyperlink ref="D30" r:id="rId2" xr:uid="{56261590-93B0-4398-82B6-B641F5026CC5}"/>
    <hyperlink ref="D36" r:id="rId3" xr:uid="{7EB17F1D-236F-4E5A-81A2-2B4E799F163E}"/>
    <hyperlink ref="D38" r:id="rId4" xr:uid="{A92A1016-9E61-4A6E-9DE8-2B016787C49A}"/>
    <hyperlink ref="D44" r:id="rId5" xr:uid="{7E6A01B2-FCB0-4AAB-923A-982A9135BEF0}"/>
    <hyperlink ref="D47" r:id="rId6" xr:uid="{37CE5E65-62E4-4F81-BFC8-30DDD03B23BF}"/>
    <hyperlink ref="D55" r:id="rId7" xr:uid="{8FFE352B-67C9-4A48-8DF8-07C2B19B28AD}"/>
    <hyperlink ref="D58" r:id="rId8" xr:uid="{9B2BDBA3-A56D-48DB-B129-5B2E2049759A}"/>
    <hyperlink ref="D62" r:id="rId9" xr:uid="{506C60A1-1077-4C34-B8D8-77C033D09043}"/>
    <hyperlink ref="D68" r:id="rId10" xr:uid="{8EAB7555-3EED-4621-9C9C-A8D8759E0ADE}"/>
    <hyperlink ref="D65" r:id="rId11" xr:uid="{30AA9098-F168-4B93-A7DB-41C46FED64DE}"/>
    <hyperlink ref="D71" r:id="rId12" xr:uid="{16C83F7D-78AA-4A8D-B0FE-4FA07AE536A5}"/>
    <hyperlink ref="D76" r:id="rId13" xr:uid="{CAE3DF23-8F4F-4B02-AAC2-2964A90FB14B}"/>
    <hyperlink ref="D79" r:id="rId14" xr:uid="{31D28EC0-4E03-4961-8ADC-F3D9AEFA8A5C}"/>
    <hyperlink ref="E85" r:id="rId15" xr:uid="{BF127C49-7129-4B29-8C5D-A0123BAA8C8C}"/>
    <hyperlink ref="D99" r:id="rId16" xr:uid="{6C4A3EFD-6DCE-4741-AA57-04AAFF67B85F}"/>
    <hyperlink ref="D128" r:id="rId17" xr:uid="{F7F6FD33-4170-4A70-92C1-6794FE04C05B}"/>
    <hyperlink ref="D135" r:id="rId18" xr:uid="{1CE04EBE-4DA5-459B-80A1-BC22721913C7}"/>
    <hyperlink ref="D140" r:id="rId19" xr:uid="{79E881C1-9C9D-48E3-8C10-E829B4772D69}"/>
    <hyperlink ref="D147" r:id="rId20" display="../../Valuation - Eicher Motors/0. Co. Research/Eicher - AR 24.pdf" xr:uid="{2C593905-CF5B-4770-A19B-B2B3E414F2C5}"/>
    <hyperlink ref="D172" r:id="rId21" xr:uid="{60477CB7-D0B8-4687-B4FB-CA8D8C5AEB68}"/>
    <hyperlink ref="D179" r:id="rId22" xr:uid="{28395827-CCFD-4A58-A36F-47D4EAC654DF}"/>
    <hyperlink ref="E189" r:id="rId23" xr:uid="{B702A1E5-B6C3-4503-9851-08DBACC2342A}"/>
    <hyperlink ref="D322" r:id="rId24" xr:uid="{A9723DCA-9BF2-4C5D-9CEF-8D8AE0925CC1}"/>
    <hyperlink ref="D376" r:id="rId25" xr:uid="{DF38D5DC-6297-414D-BBDB-ABB19BAAC28E}"/>
    <hyperlink ref="D382" r:id="rId26" xr:uid="{1C451349-742E-4781-8847-E80D87C5F800}"/>
    <hyperlink ref="D402" r:id="rId27" xr:uid="{34D04665-45C3-4D51-A935-86DBCC9065AA}"/>
    <hyperlink ref="D677" r:id="rId28" xr:uid="{CDE13915-13EE-4916-8D9F-CE17401C3DB2}"/>
  </hyperlinks>
  <pageMargins left="0.7" right="0.7" top="0.75" bottom="0.75" header="0.3" footer="0.3"/>
  <pageSetup paperSize="9" orientation="portrait" r:id="rId29"/>
  <drawing r:id="rId3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B1B81-29C4-47EE-AFB8-02C54EAC67A8}">
  <dimension ref="A2:K129"/>
  <sheetViews>
    <sheetView showGridLines="0" topLeftCell="A128" zoomScale="115" zoomScaleNormal="115" workbookViewId="0">
      <selection activeCell="B150" sqref="B150"/>
    </sheetView>
  </sheetViews>
  <sheetFormatPr defaultRowHeight="14.4"/>
  <cols>
    <col min="1" max="1" width="1.88671875" customWidth="1"/>
    <col min="2" max="2" width="28.6640625" customWidth="1"/>
  </cols>
  <sheetData>
    <row r="2" spans="1:11" ht="15.6">
      <c r="A2" t="s">
        <v>29</v>
      </c>
      <c r="B2" s="140" t="s">
        <v>297</v>
      </c>
    </row>
    <row r="3" spans="1:11" ht="15.6">
      <c r="B3" s="138"/>
      <c r="K3" s="129"/>
    </row>
    <row r="4" spans="1:11">
      <c r="B4" t="s">
        <v>298</v>
      </c>
      <c r="C4" s="129" t="s">
        <v>295</v>
      </c>
    </row>
    <row r="12" spans="1:11">
      <c r="B12" s="14" t="s">
        <v>304</v>
      </c>
      <c r="C12" s="14" t="s">
        <v>235</v>
      </c>
      <c r="D12" s="129" t="s">
        <v>300</v>
      </c>
    </row>
    <row r="13" spans="1:11">
      <c r="B13" s="139" t="s">
        <v>299</v>
      </c>
    </row>
    <row r="14" spans="1:11">
      <c r="B14" t="s">
        <v>301</v>
      </c>
    </row>
    <row r="15" spans="1:11">
      <c r="B15" t="s">
        <v>302</v>
      </c>
    </row>
    <row r="16" spans="1:11">
      <c r="B16" t="s">
        <v>303</v>
      </c>
    </row>
    <row r="18" spans="1:4" ht="15.6">
      <c r="A18" t="s">
        <v>29</v>
      </c>
      <c r="B18" s="140" t="s">
        <v>305</v>
      </c>
    </row>
    <row r="19" spans="1:4" ht="15.6">
      <c r="B19" s="141"/>
    </row>
    <row r="20" spans="1:4">
      <c r="B20" s="14" t="s">
        <v>296</v>
      </c>
      <c r="C20" s="14" t="s">
        <v>235</v>
      </c>
      <c r="D20" s="129" t="s">
        <v>295</v>
      </c>
    </row>
    <row r="21" spans="1:4">
      <c r="B21" t="s">
        <v>307</v>
      </c>
    </row>
    <row r="22" spans="1:4">
      <c r="B22" t="s">
        <v>308</v>
      </c>
    </row>
    <row r="23" spans="1:4">
      <c r="B23" t="s">
        <v>309</v>
      </c>
    </row>
    <row r="24" spans="1:4">
      <c r="B24" t="s">
        <v>306</v>
      </c>
    </row>
    <row r="26" spans="1:4">
      <c r="B26" s="14" t="s">
        <v>311</v>
      </c>
      <c r="C26" s="14" t="s">
        <v>235</v>
      </c>
      <c r="D26" s="129" t="s">
        <v>310</v>
      </c>
    </row>
    <row r="41" spans="1:4" ht="15.6">
      <c r="A41" t="s">
        <v>29</v>
      </c>
      <c r="B41" s="140" t="s">
        <v>312</v>
      </c>
    </row>
    <row r="43" spans="1:4">
      <c r="B43" s="14" t="s">
        <v>311</v>
      </c>
      <c r="C43" s="14" t="s">
        <v>235</v>
      </c>
      <c r="D43" s="129" t="s">
        <v>313</v>
      </c>
    </row>
    <row r="54" spans="1:4">
      <c r="B54" s="14" t="s">
        <v>316</v>
      </c>
      <c r="C54" s="14" t="s">
        <v>235</v>
      </c>
      <c r="D54" s="129" t="s">
        <v>315</v>
      </c>
    </row>
    <row r="55" spans="1:4">
      <c r="B55" s="22" t="s">
        <v>314</v>
      </c>
    </row>
    <row r="57" spans="1:4" ht="15.6">
      <c r="A57" t="s">
        <v>29</v>
      </c>
      <c r="B57" s="140" t="s">
        <v>318</v>
      </c>
    </row>
    <row r="59" spans="1:4">
      <c r="B59" s="14" t="s">
        <v>296</v>
      </c>
      <c r="C59" s="14" t="s">
        <v>235</v>
      </c>
      <c r="D59" s="129" t="s">
        <v>295</v>
      </c>
    </row>
    <row r="66" spans="1:4">
      <c r="B66" s="14" t="s">
        <v>321</v>
      </c>
      <c r="C66" s="14" t="s">
        <v>235</v>
      </c>
      <c r="D66" s="129" t="s">
        <v>320</v>
      </c>
    </row>
    <row r="67" spans="1:4">
      <c r="B67" t="s">
        <v>319</v>
      </c>
    </row>
    <row r="69" spans="1:4">
      <c r="B69" s="14" t="s">
        <v>324</v>
      </c>
      <c r="C69" s="14" t="s">
        <v>235</v>
      </c>
      <c r="D69" s="129" t="s">
        <v>322</v>
      </c>
    </row>
    <row r="70" spans="1:4">
      <c r="B70" t="s">
        <v>323</v>
      </c>
    </row>
    <row r="72" spans="1:4" ht="15.6">
      <c r="A72" t="s">
        <v>29</v>
      </c>
      <c r="B72" s="140" t="s">
        <v>325</v>
      </c>
    </row>
    <row r="73" spans="1:4" ht="15.6">
      <c r="B73" s="141"/>
    </row>
    <row r="74" spans="1:4">
      <c r="B74" s="14" t="s">
        <v>327</v>
      </c>
      <c r="C74" s="14" t="s">
        <v>235</v>
      </c>
      <c r="D74" s="129" t="s">
        <v>326</v>
      </c>
    </row>
    <row r="86" spans="1:4">
      <c r="B86" s="14" t="s">
        <v>329</v>
      </c>
      <c r="C86" s="14" t="s">
        <v>235</v>
      </c>
      <c r="D86" s="129" t="s">
        <v>328</v>
      </c>
    </row>
    <row r="87" spans="1:4">
      <c r="B87" s="142" t="s">
        <v>330</v>
      </c>
    </row>
    <row r="88" spans="1:4">
      <c r="B88" t="s">
        <v>331</v>
      </c>
    </row>
    <row r="90" spans="1:4" ht="15.6">
      <c r="A90" t="s">
        <v>29</v>
      </c>
      <c r="B90" s="140" t="s">
        <v>332</v>
      </c>
    </row>
    <row r="92" spans="1:4">
      <c r="B92" s="14" t="s">
        <v>334</v>
      </c>
      <c r="C92" s="14" t="s">
        <v>235</v>
      </c>
      <c r="D92" s="129" t="s">
        <v>333</v>
      </c>
    </row>
    <row r="108" spans="1:5" ht="15.6">
      <c r="A108" t="s">
        <v>29</v>
      </c>
      <c r="B108" s="140" t="s">
        <v>335</v>
      </c>
    </row>
    <row r="109" spans="1:5" s="99" customFormat="1" ht="15.6">
      <c r="B109" s="141"/>
    </row>
    <row r="110" spans="1:5">
      <c r="B110" s="14" t="s">
        <v>339</v>
      </c>
      <c r="C110" s="69"/>
      <c r="D110" s="69"/>
      <c r="E110" s="129" t="s">
        <v>344</v>
      </c>
    </row>
    <row r="111" spans="1:5">
      <c r="B111" s="22" t="s">
        <v>336</v>
      </c>
    </row>
    <row r="112" spans="1:5">
      <c r="B112" s="22" t="s">
        <v>337</v>
      </c>
    </row>
    <row r="113" spans="1:5">
      <c r="B113" t="s">
        <v>338</v>
      </c>
    </row>
    <row r="115" spans="1:5">
      <c r="B115" s="14" t="s">
        <v>341</v>
      </c>
      <c r="C115" s="14" t="s">
        <v>235</v>
      </c>
      <c r="D115" s="129" t="s">
        <v>340</v>
      </c>
    </row>
    <row r="116" spans="1:5">
      <c r="B116" t="s">
        <v>342</v>
      </c>
    </row>
    <row r="120" spans="1:5">
      <c r="B120" t="s">
        <v>343</v>
      </c>
    </row>
    <row r="122" spans="1:5" ht="15.6">
      <c r="A122" t="s">
        <v>29</v>
      </c>
      <c r="B122" s="140" t="s">
        <v>345</v>
      </c>
    </row>
    <row r="123" spans="1:5" ht="15.6">
      <c r="B123" s="144"/>
    </row>
    <row r="124" spans="1:5">
      <c r="B124" s="14" t="s">
        <v>341</v>
      </c>
      <c r="C124" s="14" t="s">
        <v>235</v>
      </c>
      <c r="D124" s="129" t="s">
        <v>347</v>
      </c>
      <c r="E124" s="129" t="s">
        <v>349</v>
      </c>
    </row>
    <row r="125" spans="1:5">
      <c r="B125" s="22" t="s">
        <v>346</v>
      </c>
    </row>
    <row r="126" spans="1:5">
      <c r="B126" s="22" t="s">
        <v>348</v>
      </c>
    </row>
    <row r="127" spans="1:5">
      <c r="B127" s="145" t="s">
        <v>350</v>
      </c>
    </row>
    <row r="129" spans="1:10">
      <c r="A129" t="s">
        <v>29</v>
      </c>
      <c r="I129" t="s">
        <v>235</v>
      </c>
      <c r="J129" s="129" t="s">
        <v>284</v>
      </c>
    </row>
  </sheetData>
  <sheetProtection algorithmName="SHA-512" hashValue="PcKHikwMJsvDnL5/bcdseVxAkB2+0GEg38TTux63wBJLQrIjW9s1+nTTcx5+9vmPmR4+c82U0roZhOpxlF6J7Q==" saltValue="8RysbxIYMWCKj+AWUvbK0g==" spinCount="100000" sheet="1" objects="1" scenarios="1"/>
  <hyperlinks>
    <hyperlink ref="J129" r:id="rId1" xr:uid="{9C7C7E52-824A-4F68-AF7B-19798A348806}"/>
    <hyperlink ref="C4" r:id="rId2" xr:uid="{C940C131-BB0F-42D0-9EE2-6525B85DCC37}"/>
    <hyperlink ref="D12" r:id="rId3" xr:uid="{935A4D46-BC24-4495-8B9B-66DEB1D3DD7F}"/>
    <hyperlink ref="D20" r:id="rId4" xr:uid="{34FFFCC9-06BB-4109-BA22-C4FB9DBF2BAA}"/>
    <hyperlink ref="D26" r:id="rId5" xr:uid="{F4FE2BC0-E95D-41F1-8ECE-86F3C0BA039A}"/>
    <hyperlink ref="D43" r:id="rId6" xr:uid="{37A2CEAA-FB66-4028-8C51-3B85ECCDBC8F}"/>
    <hyperlink ref="D54" r:id="rId7" xr:uid="{C6B74DCF-6547-43AD-9C00-D63945162A2B}"/>
    <hyperlink ref="D59" r:id="rId8" xr:uid="{F1AB7E79-DEB4-462D-A589-921E77AB3D02}"/>
    <hyperlink ref="D66" r:id="rId9" xr:uid="{D17006B1-EB75-4616-8392-19A74F92AA93}"/>
    <hyperlink ref="D69" r:id="rId10" xr:uid="{EF04DF45-75FD-439F-83B5-ABFF5F429217}"/>
    <hyperlink ref="D74" r:id="rId11" xr:uid="{AB288173-1CB0-4B6A-B298-16AF6416BA3A}"/>
    <hyperlink ref="D86" r:id="rId12" xr:uid="{E1AB7A68-00D5-4FCA-B10E-39C674E96C21}"/>
    <hyperlink ref="D92" r:id="rId13" xr:uid="{DF40C404-30D3-476C-AFBA-35AFF22FA801}"/>
    <hyperlink ref="D115" r:id="rId14" xr:uid="{5D9DD399-8F8D-4E17-9946-C6FBDAB94AD4}"/>
    <hyperlink ref="E110" r:id="rId15" xr:uid="{29EEA4DD-0D25-44A5-8C71-0274519890B1}"/>
    <hyperlink ref="D124" r:id="rId16" xr:uid="{34EEC016-B686-40CC-8243-F480FF687D21}"/>
    <hyperlink ref="E124" r:id="rId17" xr:uid="{4605C83D-1309-4910-B512-C07D9958AE7D}"/>
  </hyperlinks>
  <pageMargins left="0.7" right="0.7" top="0.75" bottom="0.75" header="0.3" footer="0.3"/>
  <drawing r:id="rId1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F845A-7737-4223-8760-D7C407731A72}">
  <dimension ref="A2:V42"/>
  <sheetViews>
    <sheetView showGridLines="0" topLeftCell="A10" zoomScale="120" zoomScaleNormal="120" workbookViewId="0">
      <selection activeCell="E28" sqref="E28"/>
    </sheetView>
  </sheetViews>
  <sheetFormatPr defaultColWidth="11.44140625" defaultRowHeight="11.4"/>
  <cols>
    <col min="1" max="2" width="11.44140625" style="362"/>
    <col min="3" max="3" width="11.5546875" style="362" bestFit="1" customWidth="1"/>
    <col min="4" max="4" width="35.44140625" style="362" customWidth="1"/>
    <col min="5" max="5" width="12.109375" style="362" bestFit="1" customWidth="1"/>
    <col min="6" max="6" width="11.44140625" style="362"/>
    <col min="7" max="7" width="11.5546875" style="362" bestFit="1" customWidth="1"/>
    <col min="8" max="9" width="11.44140625" style="362"/>
    <col min="10" max="10" width="7.109375" style="362" bestFit="1" customWidth="1"/>
    <col min="11" max="11" width="12.5546875" style="362" bestFit="1" customWidth="1"/>
    <col min="12" max="12" width="22" style="362" bestFit="1" customWidth="1"/>
    <col min="13" max="13" width="15" style="362" bestFit="1" customWidth="1"/>
    <col min="14" max="14" width="9.109375" style="362" bestFit="1" customWidth="1"/>
    <col min="15" max="15" width="19.77734375" style="362" bestFit="1" customWidth="1"/>
    <col min="16" max="16" width="20.44140625" style="362" bestFit="1" customWidth="1"/>
    <col min="17" max="17" width="7.88671875" style="362" bestFit="1" customWidth="1"/>
    <col min="18" max="18" width="10.109375" style="362" bestFit="1" customWidth="1"/>
    <col min="19" max="19" width="13.21875" style="362" bestFit="1" customWidth="1"/>
    <col min="20" max="20" width="10.44140625" style="362" bestFit="1" customWidth="1"/>
    <col min="21" max="21" width="15.44140625" style="362" bestFit="1" customWidth="1"/>
    <col min="22" max="22" width="33.21875" style="362" bestFit="1" customWidth="1"/>
    <col min="23" max="16384" width="11.44140625" style="362"/>
  </cols>
  <sheetData>
    <row r="2" spans="1:16" s="386" customFormat="1" ht="17.399999999999999">
      <c r="A2" s="359"/>
      <c r="B2" s="357" t="s">
        <v>951</v>
      </c>
      <c r="C2" s="357"/>
      <c r="D2" s="357"/>
      <c r="E2" s="358"/>
      <c r="F2" s="357"/>
      <c r="G2" s="357"/>
      <c r="H2" s="357"/>
      <c r="I2" s="359"/>
      <c r="J2" s="386" t="s">
        <v>986</v>
      </c>
      <c r="K2" s="386" t="s">
        <v>987</v>
      </c>
      <c r="L2" s="386" t="s">
        <v>988</v>
      </c>
      <c r="M2" s="386" t="s">
        <v>989</v>
      </c>
      <c r="N2" s="386" t="s">
        <v>990</v>
      </c>
      <c r="O2" s="386" t="s">
        <v>991</v>
      </c>
      <c r="P2" s="386" t="s">
        <v>992</v>
      </c>
    </row>
    <row r="3" spans="1:16" ht="14.4">
      <c r="B3" s="360" t="s">
        <v>952</v>
      </c>
      <c r="C3" s="360"/>
      <c r="D3" s="360"/>
      <c r="E3" s="361">
        <v>5678.5</v>
      </c>
      <c r="F3" s="360"/>
      <c r="G3" s="360"/>
      <c r="H3" s="360"/>
      <c r="J3" s="360" t="s">
        <v>999</v>
      </c>
      <c r="K3" s="377" t="s">
        <v>1000</v>
      </c>
      <c r="L3" s="360">
        <v>160000</v>
      </c>
      <c r="M3" s="360">
        <v>847.75</v>
      </c>
      <c r="N3" s="388">
        <v>4</v>
      </c>
      <c r="O3" s="393">
        <v>0.29399999999999998</v>
      </c>
      <c r="P3" s="390">
        <v>6.4999999999999997E-3</v>
      </c>
    </row>
    <row r="4" spans="1:16" ht="14.4">
      <c r="B4" s="360" t="s">
        <v>953</v>
      </c>
      <c r="C4" s="360"/>
      <c r="D4" s="360"/>
      <c r="E4" s="363">
        <v>1784.25</v>
      </c>
      <c r="F4" s="360"/>
      <c r="G4" s="360"/>
      <c r="H4" s="360"/>
      <c r="J4" s="360" t="s">
        <v>1003</v>
      </c>
      <c r="K4" s="377" t="s">
        <v>1004</v>
      </c>
      <c r="L4" s="360">
        <v>203000</v>
      </c>
      <c r="M4" s="360">
        <v>1473.9</v>
      </c>
      <c r="N4" s="388">
        <v>4</v>
      </c>
      <c r="O4" s="393">
        <v>0.29399999999999998</v>
      </c>
      <c r="P4" s="390">
        <v>6.4999999999999997E-3</v>
      </c>
    </row>
    <row r="5" spans="1:16" ht="14.4">
      <c r="B5" s="360" t="s">
        <v>954</v>
      </c>
      <c r="C5" s="360"/>
      <c r="D5" s="360"/>
      <c r="E5" s="361">
        <v>3.6</v>
      </c>
      <c r="F5" s="360"/>
      <c r="G5" s="360"/>
      <c r="H5" s="360"/>
      <c r="J5" s="360" t="s">
        <v>1006</v>
      </c>
      <c r="K5" s="377" t="s">
        <v>1007</v>
      </c>
      <c r="L5" s="360">
        <v>530000</v>
      </c>
      <c r="M5" s="360">
        <v>1480.7</v>
      </c>
      <c r="N5" s="388">
        <v>4</v>
      </c>
      <c r="O5" s="393">
        <v>0.29399999999999998</v>
      </c>
      <c r="P5" s="390">
        <v>6.4999999999999997E-3</v>
      </c>
    </row>
    <row r="6" spans="1:16" ht="14.4">
      <c r="B6" s="360" t="s">
        <v>955</v>
      </c>
      <c r="C6" s="360"/>
      <c r="D6" s="360"/>
      <c r="E6" s="364">
        <v>0.29399999999999998</v>
      </c>
      <c r="F6" s="360" t="s">
        <v>956</v>
      </c>
      <c r="G6" s="360"/>
      <c r="H6" s="360"/>
      <c r="J6" s="360" t="s">
        <v>1009</v>
      </c>
      <c r="K6" s="377" t="s">
        <v>1010</v>
      </c>
      <c r="L6" s="360">
        <v>65900</v>
      </c>
      <c r="M6" s="360">
        <v>2124.8000000000002</v>
      </c>
      <c r="N6" s="388">
        <v>4</v>
      </c>
      <c r="O6" s="393">
        <v>0.29399999999999998</v>
      </c>
      <c r="P6" s="390">
        <v>6.4999999999999997E-3</v>
      </c>
    </row>
    <row r="7" spans="1:16" ht="14.4">
      <c r="B7" s="360" t="s">
        <v>957</v>
      </c>
      <c r="C7" s="360"/>
      <c r="D7" s="360"/>
      <c r="E7" s="365">
        <v>7.0000000000000001E-3</v>
      </c>
      <c r="F7" s="360"/>
      <c r="G7" s="360"/>
      <c r="H7" s="360"/>
      <c r="J7" s="360" t="s">
        <v>1012</v>
      </c>
      <c r="K7" s="377" t="s">
        <v>1013</v>
      </c>
      <c r="L7" s="360">
        <v>78000</v>
      </c>
      <c r="M7" s="360">
        <v>1767.8</v>
      </c>
      <c r="N7" s="388">
        <v>4</v>
      </c>
      <c r="O7" s="393">
        <v>0.29399999999999998</v>
      </c>
      <c r="P7" s="390">
        <v>6.4999999999999997E-3</v>
      </c>
    </row>
    <row r="8" spans="1:16" ht="14.4">
      <c r="B8" s="360" t="s">
        <v>958</v>
      </c>
      <c r="C8" s="360"/>
      <c r="D8" s="360"/>
      <c r="E8" s="365">
        <f>WACC!E7</f>
        <v>4.259014176222492E-2</v>
      </c>
      <c r="F8" s="360"/>
      <c r="G8" s="360"/>
      <c r="H8" s="360"/>
      <c r="J8" s="360" t="s">
        <v>1015</v>
      </c>
      <c r="K8" s="377" t="s">
        <v>1016</v>
      </c>
      <c r="L8" s="360">
        <v>42000</v>
      </c>
      <c r="M8" s="360">
        <v>1689.4</v>
      </c>
      <c r="N8" s="388">
        <v>4</v>
      </c>
      <c r="O8" s="393">
        <v>0.29399999999999998</v>
      </c>
      <c r="P8" s="390">
        <v>6.4999999999999997E-3</v>
      </c>
    </row>
    <row r="9" spans="1:16" ht="14.4">
      <c r="B9" s="360" t="s">
        <v>959</v>
      </c>
      <c r="C9" s="360"/>
      <c r="D9" s="360"/>
      <c r="E9" s="361">
        <v>2.7573E-2</v>
      </c>
      <c r="F9" s="229">
        <v>275730</v>
      </c>
      <c r="G9" s="395">
        <v>10000000</v>
      </c>
      <c r="H9" s="360"/>
      <c r="J9" s="360" t="s">
        <v>1018</v>
      </c>
      <c r="K9" s="377" t="s">
        <v>1019</v>
      </c>
      <c r="L9" s="360">
        <v>24000</v>
      </c>
      <c r="M9" s="360">
        <v>2014.8</v>
      </c>
      <c r="N9" s="388">
        <v>4</v>
      </c>
      <c r="O9" s="393">
        <v>0.29399999999999998</v>
      </c>
      <c r="P9" s="390">
        <v>6.4999999999999997E-3</v>
      </c>
    </row>
    <row r="10" spans="1:16" ht="14.4">
      <c r="B10" s="360" t="s">
        <v>960</v>
      </c>
      <c r="C10" s="360"/>
      <c r="D10" s="360"/>
      <c r="E10" s="361">
        <v>27.428000000000001</v>
      </c>
      <c r="F10" s="360">
        <f>F9/G9</f>
        <v>2.7573E-2</v>
      </c>
      <c r="G10" s="360"/>
      <c r="H10" s="360"/>
      <c r="J10" s="360" t="s">
        <v>1021</v>
      </c>
      <c r="K10" s="377" t="s">
        <v>1022</v>
      </c>
      <c r="L10" s="360">
        <v>21000</v>
      </c>
      <c r="M10" s="360">
        <v>2034</v>
      </c>
      <c r="N10" s="388">
        <v>4</v>
      </c>
      <c r="O10" s="393">
        <v>0.29399999999999998</v>
      </c>
      <c r="P10" s="390">
        <v>6.4999999999999997E-3</v>
      </c>
    </row>
    <row r="11" spans="1:16" ht="14.4">
      <c r="B11" s="360"/>
      <c r="C11" s="360"/>
      <c r="D11" s="360"/>
      <c r="E11" s="360"/>
      <c r="F11" s="360"/>
      <c r="G11" s="360"/>
      <c r="H11" s="360"/>
      <c r="J11" s="360" t="s">
        <v>1024</v>
      </c>
      <c r="K11" s="377" t="s">
        <v>1025</v>
      </c>
      <c r="L11" s="360">
        <v>30000</v>
      </c>
      <c r="M11" s="360">
        <v>2449.1999999999998</v>
      </c>
      <c r="N11" s="388">
        <v>4</v>
      </c>
      <c r="O11" s="393">
        <v>0.29399999999999998</v>
      </c>
      <c r="P11" s="390">
        <v>6.4999999999999997E-3</v>
      </c>
    </row>
    <row r="12" spans="1:16" s="368" customFormat="1" ht="14.4">
      <c r="B12" s="366" t="s">
        <v>961</v>
      </c>
      <c r="C12" s="367"/>
      <c r="D12" s="367"/>
      <c r="E12" s="367"/>
      <c r="F12" s="367"/>
      <c r="G12" s="367"/>
      <c r="H12" s="367"/>
      <c r="J12" s="367" t="s">
        <v>1027</v>
      </c>
      <c r="K12" s="389" t="s">
        <v>1028</v>
      </c>
      <c r="L12" s="367">
        <v>13500</v>
      </c>
      <c r="M12" s="367">
        <v>3212.1</v>
      </c>
      <c r="N12" s="388">
        <v>4</v>
      </c>
      <c r="O12" s="393">
        <v>0.29399999999999998</v>
      </c>
      <c r="P12" s="390">
        <v>6.4999999999999997E-3</v>
      </c>
    </row>
    <row r="13" spans="1:16" s="369" customFormat="1" ht="14.4">
      <c r="B13" s="357" t="s">
        <v>962</v>
      </c>
      <c r="C13" s="360"/>
      <c r="D13" s="360"/>
      <c r="E13" s="360"/>
      <c r="F13" s="360"/>
      <c r="G13" s="360"/>
      <c r="H13" s="360"/>
      <c r="J13" s="360" t="s">
        <v>1030</v>
      </c>
      <c r="K13" s="377" t="s">
        <v>1031</v>
      </c>
      <c r="L13" s="360">
        <v>15000</v>
      </c>
      <c r="M13" s="360">
        <v>3058.5</v>
      </c>
      <c r="N13" s="388">
        <v>4</v>
      </c>
      <c r="O13" s="393">
        <v>0.29399999999999998</v>
      </c>
      <c r="P13" s="390">
        <v>6.4999999999999997E-3</v>
      </c>
    </row>
    <row r="14" spans="1:16" s="369" customFormat="1" ht="14.4">
      <c r="B14" s="360" t="s">
        <v>963</v>
      </c>
      <c r="C14" s="360"/>
      <c r="D14" s="370">
        <f>E3</f>
        <v>5678.5</v>
      </c>
      <c r="E14" s="360" t="s">
        <v>964</v>
      </c>
      <c r="F14" s="360"/>
      <c r="G14" s="371">
        <f>E9</f>
        <v>2.7573E-2</v>
      </c>
      <c r="H14" s="372"/>
      <c r="J14" s="360" t="s">
        <v>1033</v>
      </c>
      <c r="K14" s="377" t="s">
        <v>1034</v>
      </c>
      <c r="L14" s="360">
        <v>36000</v>
      </c>
      <c r="M14" s="360">
        <v>1634.9</v>
      </c>
      <c r="N14" s="388">
        <v>4</v>
      </c>
      <c r="O14" s="393">
        <v>0.29399999999999998</v>
      </c>
      <c r="P14" s="390">
        <v>6.4999999999999997E-3</v>
      </c>
    </row>
    <row r="15" spans="1:16" s="369" customFormat="1" ht="14.4">
      <c r="B15" s="360" t="s">
        <v>965</v>
      </c>
      <c r="C15" s="360"/>
      <c r="D15" s="370">
        <f>E4</f>
        <v>1784.25</v>
      </c>
      <c r="E15" s="360" t="s">
        <v>966</v>
      </c>
      <c r="F15" s="360"/>
      <c r="G15" s="371">
        <f>E10</f>
        <v>27.428000000000001</v>
      </c>
      <c r="H15" s="372"/>
      <c r="J15" s="360" t="s">
        <v>1036</v>
      </c>
      <c r="K15" s="377" t="s">
        <v>1037</v>
      </c>
      <c r="L15" s="360">
        <v>82500</v>
      </c>
      <c r="M15" s="360">
        <v>1381.1</v>
      </c>
      <c r="N15" s="388">
        <v>4</v>
      </c>
      <c r="O15" s="393">
        <v>0.29399999999999998</v>
      </c>
      <c r="P15" s="390">
        <v>6.4999999999999997E-3</v>
      </c>
    </row>
    <row r="16" spans="1:16" s="369" customFormat="1" ht="14.4">
      <c r="B16" s="360" t="s">
        <v>967</v>
      </c>
      <c r="C16" s="360"/>
      <c r="D16" s="370">
        <f ca="1">(D14*G15+D27*G14)/(G15+G14)</f>
        <v>5676.8249858561467</v>
      </c>
      <c r="E16" s="360" t="s">
        <v>968</v>
      </c>
      <c r="F16" s="360"/>
      <c r="G16" s="373">
        <f>E8</f>
        <v>4.259014176222492E-2</v>
      </c>
      <c r="H16" s="360"/>
      <c r="J16" s="360" t="s">
        <v>1039</v>
      </c>
      <c r="K16" s="377" t="s">
        <v>1037</v>
      </c>
      <c r="L16" s="360">
        <v>427500</v>
      </c>
      <c r="M16" s="360">
        <v>1381.1</v>
      </c>
      <c r="N16" s="360">
        <v>3</v>
      </c>
      <c r="O16" s="393">
        <v>0.29399999999999998</v>
      </c>
      <c r="P16" s="390">
        <v>6.4999999999999997E-3</v>
      </c>
    </row>
    <row r="17" spans="2:22" s="369" customFormat="1" ht="14.4">
      <c r="B17" s="360" t="s">
        <v>969</v>
      </c>
      <c r="C17" s="360"/>
      <c r="D17" s="370">
        <f>D15</f>
        <v>1784.25</v>
      </c>
      <c r="E17" s="360" t="s">
        <v>970</v>
      </c>
      <c r="F17" s="360"/>
      <c r="G17" s="374">
        <f>E6^2</f>
        <v>8.6435999999999985E-2</v>
      </c>
      <c r="H17" s="360"/>
      <c r="J17" s="360" t="s">
        <v>1041</v>
      </c>
      <c r="K17" s="377" t="s">
        <v>1042</v>
      </c>
      <c r="L17" s="360">
        <v>10000</v>
      </c>
      <c r="M17" s="360">
        <v>2948</v>
      </c>
      <c r="N17" s="360">
        <v>3</v>
      </c>
      <c r="O17" s="393">
        <v>0.29399999999999998</v>
      </c>
      <c r="P17" s="390">
        <v>6.4999999999999997E-3</v>
      </c>
    </row>
    <row r="18" spans="2:22" s="369" customFormat="1" ht="14.4">
      <c r="B18" s="360" t="s">
        <v>971</v>
      </c>
      <c r="C18" s="360"/>
      <c r="D18" s="370">
        <f>E5</f>
        <v>3.6</v>
      </c>
      <c r="E18" s="360" t="s">
        <v>972</v>
      </c>
      <c r="F18" s="360"/>
      <c r="G18" s="373">
        <f>E7</f>
        <v>7.0000000000000001E-3</v>
      </c>
      <c r="H18" s="360"/>
      <c r="J18" s="360" t="s">
        <v>1044</v>
      </c>
      <c r="K18" s="377" t="s">
        <v>1045</v>
      </c>
      <c r="L18" s="360">
        <v>328500</v>
      </c>
      <c r="M18" s="360">
        <v>2633.5</v>
      </c>
      <c r="N18" s="360">
        <v>3</v>
      </c>
      <c r="O18" s="393">
        <v>0.29399999999999998</v>
      </c>
      <c r="P18" s="390">
        <v>6.4999999999999997E-3</v>
      </c>
    </row>
    <row r="19" spans="2:22" s="369" customFormat="1" ht="14.4">
      <c r="B19" s="360"/>
      <c r="C19" s="360"/>
      <c r="D19" s="357"/>
      <c r="E19" s="360" t="s">
        <v>973</v>
      </c>
      <c r="F19" s="360"/>
      <c r="G19" s="375">
        <f>G16-G18</f>
        <v>3.5590141762224921E-2</v>
      </c>
      <c r="H19" s="360"/>
      <c r="J19" s="360" t="s">
        <v>1047</v>
      </c>
      <c r="K19" s="377" t="s">
        <v>1045</v>
      </c>
      <c r="L19" s="360">
        <v>200000</v>
      </c>
      <c r="M19" s="360">
        <v>2633.5</v>
      </c>
      <c r="N19" s="360">
        <v>3.5</v>
      </c>
      <c r="O19" s="393">
        <v>0.29399999999999998</v>
      </c>
      <c r="P19" s="390">
        <v>6.4999999999999997E-3</v>
      </c>
    </row>
    <row r="20" spans="2:22" s="369" customFormat="1" ht="14.4">
      <c r="B20" s="360"/>
      <c r="C20" s="360"/>
      <c r="D20" s="360"/>
      <c r="E20" s="360"/>
      <c r="F20" s="360"/>
      <c r="G20" s="360"/>
      <c r="H20" s="360"/>
      <c r="J20" s="360" t="s">
        <v>1049</v>
      </c>
      <c r="K20" s="377" t="s">
        <v>1050</v>
      </c>
      <c r="L20" s="360">
        <v>50000</v>
      </c>
      <c r="M20" s="360">
        <v>2543</v>
      </c>
      <c r="N20" s="360">
        <v>3</v>
      </c>
      <c r="O20" s="393">
        <v>0.29399999999999998</v>
      </c>
      <c r="P20" s="390">
        <v>6.4999999999999997E-3</v>
      </c>
    </row>
    <row r="21" spans="2:22" s="369" customFormat="1" ht="14.4">
      <c r="B21" s="360" t="s">
        <v>974</v>
      </c>
      <c r="C21" s="376">
        <f ca="1">(LN(D16/D17)+(G19+(G17/2))*D18)/(((G17)^(0.5))*(D18^0.5))</f>
        <v>2.5834289130279293</v>
      </c>
      <c r="D21" s="360"/>
      <c r="E21" s="360"/>
      <c r="F21" s="360"/>
      <c r="G21" s="360"/>
      <c r="H21" s="360"/>
      <c r="L21" s="357" t="s">
        <v>1052</v>
      </c>
      <c r="M21" s="391">
        <f>SUMPRODUCT(M3:M20,$L$3:$L$20)/SUM($L$3:$L$20)</f>
        <v>1784.245509085416</v>
      </c>
      <c r="N21" s="391">
        <f t="shared" ref="N21:P21" si="0">SUMPRODUCT(N3:N20,$L$3:$L$20)/SUM($L$3:$L$20)</f>
        <v>3.604644136561785</v>
      </c>
      <c r="O21" s="394">
        <f t="shared" si="0"/>
        <v>0.29399999999999998</v>
      </c>
      <c r="P21" s="392">
        <f t="shared" si="0"/>
        <v>6.5000000000000006E-3</v>
      </c>
    </row>
    <row r="22" spans="2:22" s="369" customFormat="1" ht="14.4">
      <c r="B22" s="360" t="s">
        <v>975</v>
      </c>
      <c r="C22" s="376">
        <f ca="1">NORMSDIST(C21)</f>
        <v>0.99510881879266777</v>
      </c>
      <c r="D22" s="360"/>
      <c r="E22" s="360"/>
      <c r="F22" s="360"/>
      <c r="G22" s="360"/>
      <c r="H22" s="360"/>
    </row>
    <row r="23" spans="2:22" s="369" customFormat="1" ht="14.4">
      <c r="B23" s="360"/>
      <c r="C23" s="377"/>
      <c r="D23" s="360"/>
      <c r="E23" s="360"/>
      <c r="F23" s="360"/>
      <c r="G23" s="360"/>
      <c r="H23" s="360"/>
    </row>
    <row r="24" spans="2:22" s="369" customFormat="1" ht="15.75" customHeight="1">
      <c r="B24" s="360" t="s">
        <v>976</v>
      </c>
      <c r="C24" s="376">
        <f ca="1">C21-((G17^0.5)*(D18^(0.5)))</f>
        <v>2.0256031337742275</v>
      </c>
      <c r="D24" s="360"/>
      <c r="E24" s="360"/>
      <c r="F24" s="360"/>
      <c r="G24" s="360"/>
      <c r="H24" s="360"/>
      <c r="P24" s="387" t="s">
        <v>993</v>
      </c>
      <c r="Q24" s="387" t="s">
        <v>994</v>
      </c>
      <c r="R24" s="387" t="s">
        <v>987</v>
      </c>
      <c r="S24" s="387" t="s">
        <v>995</v>
      </c>
      <c r="T24" s="387" t="s">
        <v>996</v>
      </c>
      <c r="U24" s="387" t="s">
        <v>997</v>
      </c>
      <c r="V24" s="387" t="s">
        <v>998</v>
      </c>
    </row>
    <row r="25" spans="2:22" s="369" customFormat="1" ht="14.4">
      <c r="B25" s="360" t="s">
        <v>977</v>
      </c>
      <c r="C25" s="376">
        <f ca="1">NORMSDIST(C24)</f>
        <v>0.97859726492457477</v>
      </c>
      <c r="D25" s="360"/>
      <c r="E25" s="360"/>
      <c r="F25" s="360"/>
      <c r="G25" s="360"/>
      <c r="H25" s="360"/>
      <c r="P25" t="s">
        <v>999</v>
      </c>
      <c r="Q25">
        <v>160000</v>
      </c>
      <c r="R25" t="s">
        <v>1000</v>
      </c>
      <c r="S25" t="s">
        <v>1001</v>
      </c>
      <c r="T25" t="s">
        <v>1002</v>
      </c>
      <c r="U25">
        <v>847.75</v>
      </c>
      <c r="V25">
        <v>433.63</v>
      </c>
    </row>
    <row r="26" spans="2:22" ht="15" thickBot="1">
      <c r="B26" s="360"/>
      <c r="C26" s="360"/>
      <c r="D26" s="360"/>
      <c r="E26" s="360"/>
      <c r="F26" s="360"/>
      <c r="G26" s="360"/>
      <c r="H26" s="360"/>
      <c r="P26" t="s">
        <v>1003</v>
      </c>
      <c r="Q26">
        <v>203000</v>
      </c>
      <c r="R26" t="s">
        <v>1004</v>
      </c>
      <c r="S26" t="s">
        <v>1001</v>
      </c>
      <c r="T26" t="s">
        <v>1005</v>
      </c>
      <c r="U26">
        <v>1473.9</v>
      </c>
      <c r="V26">
        <v>739.39</v>
      </c>
    </row>
    <row r="27" spans="2:22" s="369" customFormat="1" ht="15" thickBot="1">
      <c r="B27" s="360" t="s">
        <v>978</v>
      </c>
      <c r="C27" s="360"/>
      <c r="D27" s="378">
        <f ca="1">((EXP((0-G18)*D18))*D16*C22-D17*(EXP((0-G16)*D18))*C25)</f>
        <v>4010.6193521706973</v>
      </c>
      <c r="E27" s="379"/>
      <c r="F27" s="360"/>
      <c r="G27" s="360"/>
      <c r="H27" s="380"/>
      <c r="P27" t="s">
        <v>1006</v>
      </c>
      <c r="Q27">
        <v>530000</v>
      </c>
      <c r="R27" t="s">
        <v>1007</v>
      </c>
      <c r="S27" t="s">
        <v>1001</v>
      </c>
      <c r="T27" t="s">
        <v>1008</v>
      </c>
      <c r="U27">
        <v>1480.7</v>
      </c>
      <c r="V27">
        <v>774.2</v>
      </c>
    </row>
    <row r="28" spans="2:22" s="369" customFormat="1" ht="15" thickBot="1">
      <c r="B28" s="360" t="s">
        <v>979</v>
      </c>
      <c r="C28" s="360"/>
      <c r="D28" s="360"/>
      <c r="E28" s="396">
        <f ca="1">D27*E9</f>
        <v>110.58480739740264</v>
      </c>
      <c r="F28" s="360"/>
      <c r="G28" s="360"/>
      <c r="H28" s="360"/>
      <c r="P28" t="s">
        <v>1009</v>
      </c>
      <c r="Q28">
        <v>65900</v>
      </c>
      <c r="R28" t="s">
        <v>1010</v>
      </c>
      <c r="S28" t="s">
        <v>1001</v>
      </c>
      <c r="T28" t="s">
        <v>1011</v>
      </c>
      <c r="U28">
        <v>2124.8000000000002</v>
      </c>
      <c r="V28">
        <v>1111.25</v>
      </c>
    </row>
    <row r="29" spans="2:22" ht="14.4">
      <c r="B29" s="360"/>
      <c r="C29" s="360"/>
      <c r="D29" s="360"/>
      <c r="E29" s="360"/>
      <c r="F29" s="360"/>
      <c r="G29" s="360"/>
      <c r="H29" s="360"/>
      <c r="P29" t="s">
        <v>1012</v>
      </c>
      <c r="Q29">
        <v>78000</v>
      </c>
      <c r="R29" t="s">
        <v>1013</v>
      </c>
      <c r="S29" t="s">
        <v>1001</v>
      </c>
      <c r="T29" t="s">
        <v>1014</v>
      </c>
      <c r="U29">
        <v>1767.8</v>
      </c>
      <c r="V29">
        <v>901.05</v>
      </c>
    </row>
    <row r="30" spans="2:22" ht="14.4">
      <c r="B30" s="360"/>
      <c r="C30" s="360"/>
      <c r="D30" s="360"/>
      <c r="E30" s="360"/>
      <c r="F30" s="360"/>
      <c r="G30" s="360"/>
      <c r="H30" s="360"/>
      <c r="P30" t="s">
        <v>1015</v>
      </c>
      <c r="Q30">
        <v>42000</v>
      </c>
      <c r="R30" t="s">
        <v>1016</v>
      </c>
      <c r="S30" t="s">
        <v>1001</v>
      </c>
      <c r="T30" t="s">
        <v>1017</v>
      </c>
      <c r="U30">
        <v>1689.4</v>
      </c>
      <c r="V30">
        <v>856.59</v>
      </c>
    </row>
    <row r="31" spans="2:22" ht="14.4">
      <c r="B31" s="360"/>
      <c r="C31" s="360"/>
      <c r="D31" s="360"/>
      <c r="E31" s="360"/>
      <c r="F31" s="360"/>
      <c r="G31" s="360"/>
      <c r="H31" s="360"/>
      <c r="P31" t="s">
        <v>1018</v>
      </c>
      <c r="Q31">
        <v>24000</v>
      </c>
      <c r="R31" t="s">
        <v>1019</v>
      </c>
      <c r="S31" t="s">
        <v>1001</v>
      </c>
      <c r="T31" t="s">
        <v>1020</v>
      </c>
      <c r="U31">
        <v>2014.8</v>
      </c>
      <c r="V31">
        <v>1005.58</v>
      </c>
    </row>
    <row r="32" spans="2:22" ht="14.4">
      <c r="B32" s="360"/>
      <c r="C32" s="360"/>
      <c r="D32" s="360"/>
      <c r="E32" s="360"/>
      <c r="F32" s="360"/>
      <c r="G32" s="360"/>
      <c r="H32" s="360"/>
      <c r="P32" t="s">
        <v>1021</v>
      </c>
      <c r="Q32">
        <v>21000</v>
      </c>
      <c r="R32" t="s">
        <v>1022</v>
      </c>
      <c r="S32" t="s">
        <v>1001</v>
      </c>
      <c r="T32" t="s">
        <v>1023</v>
      </c>
      <c r="U32">
        <v>2034</v>
      </c>
      <c r="V32">
        <v>1043.71</v>
      </c>
    </row>
    <row r="33" spans="2:22" ht="14.4">
      <c r="B33" s="360"/>
      <c r="C33" s="360"/>
      <c r="D33" s="360"/>
      <c r="E33" s="360"/>
      <c r="F33" s="360"/>
      <c r="G33" s="360"/>
      <c r="H33" s="360"/>
      <c r="P33" t="s">
        <v>1024</v>
      </c>
      <c r="Q33">
        <v>30000</v>
      </c>
      <c r="R33" t="s">
        <v>1025</v>
      </c>
      <c r="S33" t="s">
        <v>1001</v>
      </c>
      <c r="T33" t="s">
        <v>1026</v>
      </c>
      <c r="U33">
        <v>2449.1999999999998</v>
      </c>
      <c r="V33">
        <v>1175.4000000000001</v>
      </c>
    </row>
    <row r="34" spans="2:22" ht="14.4">
      <c r="B34" s="360"/>
      <c r="C34" s="360"/>
      <c r="D34" s="360"/>
      <c r="E34" s="360"/>
      <c r="F34" s="360"/>
      <c r="G34" s="360"/>
      <c r="H34" s="360"/>
      <c r="P34" t="s">
        <v>1027</v>
      </c>
      <c r="Q34">
        <v>13500</v>
      </c>
      <c r="R34" t="s">
        <v>1028</v>
      </c>
      <c r="S34" t="s">
        <v>1001</v>
      </c>
      <c r="T34" t="s">
        <v>1029</v>
      </c>
      <c r="U34">
        <v>3212.1</v>
      </c>
      <c r="V34">
        <v>1497.35</v>
      </c>
    </row>
    <row r="35" spans="2:22" ht="14.4">
      <c r="B35" s="360"/>
      <c r="C35" s="360"/>
      <c r="D35" s="360"/>
      <c r="E35" s="360"/>
      <c r="F35" s="360"/>
      <c r="G35" s="360"/>
      <c r="H35" s="360"/>
      <c r="P35" t="s">
        <v>1030</v>
      </c>
      <c r="Q35">
        <v>15000</v>
      </c>
      <c r="R35" t="s">
        <v>1031</v>
      </c>
      <c r="S35" t="s">
        <v>1001</v>
      </c>
      <c r="T35" t="s">
        <v>1032</v>
      </c>
      <c r="U35">
        <v>3058.5</v>
      </c>
      <c r="V35">
        <v>1452.09</v>
      </c>
    </row>
    <row r="36" spans="2:22" ht="14.4">
      <c r="B36" s="360"/>
      <c r="C36" s="360"/>
      <c r="D36" s="360"/>
      <c r="E36" s="360"/>
      <c r="F36" s="360"/>
      <c r="G36" s="360"/>
      <c r="H36" s="360"/>
      <c r="P36" t="s">
        <v>1033</v>
      </c>
      <c r="Q36">
        <v>36000</v>
      </c>
      <c r="R36" t="s">
        <v>1034</v>
      </c>
      <c r="S36" t="s">
        <v>1001</v>
      </c>
      <c r="T36" t="s">
        <v>1035</v>
      </c>
      <c r="U36">
        <v>1634.9</v>
      </c>
      <c r="V36">
        <v>745.52</v>
      </c>
    </row>
    <row r="37" spans="2:22" ht="14.4">
      <c r="B37" s="360"/>
      <c r="C37" s="360"/>
      <c r="D37" s="360"/>
      <c r="E37" s="360"/>
      <c r="F37" s="360"/>
      <c r="G37" s="360"/>
      <c r="H37" s="360"/>
      <c r="P37" t="s">
        <v>1036</v>
      </c>
      <c r="Q37">
        <v>82500</v>
      </c>
      <c r="R37" t="s">
        <v>1037</v>
      </c>
      <c r="S37" t="s">
        <v>1001</v>
      </c>
      <c r="T37" t="s">
        <v>1038</v>
      </c>
      <c r="U37">
        <v>1381.1</v>
      </c>
      <c r="V37">
        <v>446.24</v>
      </c>
    </row>
    <row r="38" spans="2:22" ht="14.4">
      <c r="P38" t="s">
        <v>1039</v>
      </c>
      <c r="Q38">
        <v>427500</v>
      </c>
      <c r="R38" t="s">
        <v>1037</v>
      </c>
      <c r="S38" t="s">
        <v>60</v>
      </c>
      <c r="T38" t="s">
        <v>1040</v>
      </c>
      <c r="U38">
        <v>1381.1</v>
      </c>
      <c r="V38">
        <v>386.16</v>
      </c>
    </row>
    <row r="39" spans="2:22" ht="14.4">
      <c r="P39" t="s">
        <v>1041</v>
      </c>
      <c r="Q39">
        <v>10000</v>
      </c>
      <c r="R39" t="s">
        <v>1042</v>
      </c>
      <c r="S39" t="s">
        <v>60</v>
      </c>
      <c r="T39" t="s">
        <v>1043</v>
      </c>
      <c r="U39">
        <v>2948</v>
      </c>
      <c r="V39">
        <v>875.95</v>
      </c>
    </row>
    <row r="40" spans="2:22" ht="14.4">
      <c r="P40" t="s">
        <v>1044</v>
      </c>
      <c r="Q40">
        <v>328500</v>
      </c>
      <c r="R40" t="s">
        <v>1045</v>
      </c>
      <c r="S40" t="s">
        <v>60</v>
      </c>
      <c r="T40" t="s">
        <v>1046</v>
      </c>
      <c r="U40">
        <v>2633.5</v>
      </c>
      <c r="V40">
        <v>782.21</v>
      </c>
    </row>
    <row r="41" spans="2:22" ht="14.4">
      <c r="P41" t="s">
        <v>1047</v>
      </c>
      <c r="Q41">
        <v>200000</v>
      </c>
      <c r="R41" t="s">
        <v>1045</v>
      </c>
      <c r="S41" t="s">
        <v>1048</v>
      </c>
      <c r="T41" t="s">
        <v>1046</v>
      </c>
      <c r="U41">
        <v>2633.5</v>
      </c>
      <c r="V41">
        <v>829.69</v>
      </c>
    </row>
    <row r="42" spans="2:22" ht="14.4">
      <c r="P42" t="s">
        <v>1049</v>
      </c>
      <c r="Q42">
        <v>50000</v>
      </c>
      <c r="R42" t="s">
        <v>1050</v>
      </c>
      <c r="S42" t="s">
        <v>60</v>
      </c>
      <c r="T42" t="s">
        <v>1051</v>
      </c>
      <c r="U42">
        <v>2543</v>
      </c>
      <c r="V42">
        <v>744.18</v>
      </c>
    </row>
  </sheetData>
  <sheetProtection algorithmName="SHA-512" hashValue="P6Tj3UBsaY5JOC+X9P0QYfEq2xvl3QmyAPMzi8p1+B9bgtAiv/Cn2X6DWqfa9EUoM7Siz2aA/VOaJrCPRlj+9g==" saltValue="wBylcBtpj2JwgAf6fMnxdg==" spinCount="100000" sheet="1" objects="1" scenarios="1"/>
  <pageMargins left="0.75" right="0.75" top="1" bottom="1" header="0.5" footer="0.5"/>
  <pageSetup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1E5B3-0E18-41AE-BF5A-A12F8836FCAC}">
  <sheetPr>
    <tabColor rgb="FFFF0000"/>
  </sheetPr>
  <dimension ref="A1"/>
  <sheetViews>
    <sheetView workbookViewId="0">
      <selection activeCell="B8" sqref="B8"/>
    </sheetView>
  </sheetViews>
  <sheetFormatPr defaultRowHeight="14.4"/>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1C8A0-5079-44F4-94B7-68AC7AC8E286}">
  <dimension ref="B2:L93"/>
  <sheetViews>
    <sheetView showGridLines="0" zoomScale="115" zoomScaleNormal="115" workbookViewId="0">
      <pane ySplit="2" topLeftCell="A30" activePane="bottomLeft" state="frozen"/>
      <selection pane="bottomLeft" activeCell="G43" sqref="G43"/>
    </sheetView>
  </sheetViews>
  <sheetFormatPr defaultRowHeight="14.4"/>
  <cols>
    <col min="1" max="1" width="1.88671875" customWidth="1"/>
    <col min="2" max="2" width="56.77734375" bestFit="1" customWidth="1"/>
    <col min="3" max="6" width="9.44140625" customWidth="1"/>
    <col min="7" max="7" width="9.44140625" bestFit="1" customWidth="1"/>
    <col min="8" max="9" width="10" bestFit="1" customWidth="1"/>
    <col min="10" max="11" width="10.6640625" bestFit="1" customWidth="1"/>
  </cols>
  <sheetData>
    <row r="2" spans="2:12">
      <c r="B2" s="191" t="s">
        <v>176</v>
      </c>
      <c r="C2" s="192">
        <v>42430</v>
      </c>
      <c r="D2" s="192">
        <v>42795</v>
      </c>
      <c r="E2" s="192">
        <v>43160</v>
      </c>
      <c r="F2" s="192">
        <v>43525</v>
      </c>
      <c r="G2" s="192">
        <v>43891</v>
      </c>
      <c r="H2" s="192">
        <v>44256</v>
      </c>
      <c r="I2" s="192">
        <v>44621</v>
      </c>
      <c r="J2" s="192">
        <v>44986</v>
      </c>
      <c r="K2" s="192">
        <v>45352</v>
      </c>
    </row>
    <row r="4" spans="2:12">
      <c r="B4" s="199" t="s">
        <v>582</v>
      </c>
      <c r="C4" s="245">
        <f>C5</f>
        <v>790</v>
      </c>
      <c r="D4" s="245">
        <f t="shared" ref="D4:K5" si="0">D5</f>
        <v>869</v>
      </c>
      <c r="E4" s="245">
        <f t="shared" si="0"/>
        <v>1498</v>
      </c>
      <c r="F4" s="245">
        <f t="shared" si="0"/>
        <v>1871</v>
      </c>
      <c r="G4" s="245">
        <f t="shared" si="0"/>
        <v>2374</v>
      </c>
      <c r="H4" s="245">
        <f t="shared" si="0"/>
        <v>2433</v>
      </c>
      <c r="I4" s="245">
        <f t="shared" si="0"/>
        <v>2424</v>
      </c>
      <c r="J4" s="245">
        <f t="shared" si="0"/>
        <v>2690</v>
      </c>
      <c r="K4" s="245">
        <f t="shared" si="0"/>
        <v>2914</v>
      </c>
    </row>
    <row r="5" spans="2:12">
      <c r="B5" s="193" t="s">
        <v>175</v>
      </c>
      <c r="C5" s="242">
        <f>C6</f>
        <v>790</v>
      </c>
      <c r="D5" s="242">
        <f t="shared" si="0"/>
        <v>869</v>
      </c>
      <c r="E5" s="242">
        <f t="shared" si="0"/>
        <v>1498</v>
      </c>
      <c r="F5" s="242">
        <f t="shared" si="0"/>
        <v>1871</v>
      </c>
      <c r="G5" s="242">
        <f t="shared" si="0"/>
        <v>2374</v>
      </c>
      <c r="H5" s="242">
        <f t="shared" si="0"/>
        <v>2433</v>
      </c>
      <c r="I5" s="242">
        <f t="shared" si="0"/>
        <v>2424</v>
      </c>
      <c r="J5" s="242">
        <f t="shared" si="0"/>
        <v>2690</v>
      </c>
      <c r="K5" s="242">
        <f t="shared" si="0"/>
        <v>2914</v>
      </c>
    </row>
    <row r="6" spans="2:12">
      <c r="B6" s="197" t="s">
        <v>174</v>
      </c>
      <c r="C6" s="242">
        <f>C7-C8</f>
        <v>790</v>
      </c>
      <c r="D6" s="242">
        <f t="shared" ref="D6:K6" si="1">D7-D8</f>
        <v>869</v>
      </c>
      <c r="E6" s="242">
        <f t="shared" si="1"/>
        <v>1498</v>
      </c>
      <c r="F6" s="242">
        <f t="shared" si="1"/>
        <v>1871</v>
      </c>
      <c r="G6" s="242">
        <f t="shared" si="1"/>
        <v>2374</v>
      </c>
      <c r="H6" s="242">
        <f t="shared" si="1"/>
        <v>2433</v>
      </c>
      <c r="I6" s="242">
        <f t="shared" si="1"/>
        <v>2424</v>
      </c>
      <c r="J6" s="242">
        <f t="shared" si="1"/>
        <v>2690</v>
      </c>
      <c r="K6" s="242">
        <f t="shared" si="1"/>
        <v>2914</v>
      </c>
    </row>
    <row r="7" spans="2:12">
      <c r="B7" s="198" t="s">
        <v>440</v>
      </c>
      <c r="C7" s="243">
        <v>1061</v>
      </c>
      <c r="D7" s="243">
        <v>1285</v>
      </c>
      <c r="E7" s="243">
        <v>2134</v>
      </c>
      <c r="F7" s="243">
        <v>2757</v>
      </c>
      <c r="G7" s="243">
        <v>3575</v>
      </c>
      <c r="H7" s="243">
        <v>4049</v>
      </c>
      <c r="I7" s="243">
        <v>4405</v>
      </c>
      <c r="J7" s="243">
        <v>5142</v>
      </c>
      <c r="K7" s="243">
        <v>5750</v>
      </c>
      <c r="L7" s="229"/>
    </row>
    <row r="8" spans="2:12">
      <c r="B8" s="198" t="s">
        <v>441</v>
      </c>
      <c r="C8" s="243">
        <v>271</v>
      </c>
      <c r="D8" s="243">
        <v>416</v>
      </c>
      <c r="E8" s="243">
        <v>636</v>
      </c>
      <c r="F8" s="243">
        <v>886</v>
      </c>
      <c r="G8" s="243">
        <v>1201</v>
      </c>
      <c r="H8" s="243">
        <v>1616</v>
      </c>
      <c r="I8" s="243">
        <v>1981</v>
      </c>
      <c r="J8" s="243">
        <v>2452</v>
      </c>
      <c r="K8" s="243">
        <v>2836</v>
      </c>
    </row>
    <row r="9" spans="2:12">
      <c r="B9" s="95" t="s">
        <v>173</v>
      </c>
      <c r="C9" s="240">
        <v>33</v>
      </c>
      <c r="D9" s="240">
        <v>264</v>
      </c>
      <c r="E9" s="240">
        <v>142</v>
      </c>
      <c r="F9" s="240">
        <v>272</v>
      </c>
      <c r="G9" s="240">
        <v>27</v>
      </c>
      <c r="H9" s="240">
        <v>64</v>
      </c>
      <c r="I9" s="240">
        <v>134</v>
      </c>
      <c r="J9" s="240">
        <v>78</v>
      </c>
      <c r="K9" s="240">
        <v>212</v>
      </c>
    </row>
    <row r="10" spans="2:12">
      <c r="B10" s="194" t="s">
        <v>172</v>
      </c>
      <c r="C10" s="244">
        <f>3895+C41</f>
        <v>3961.3999999999996</v>
      </c>
      <c r="D10" s="244">
        <f>4382+D41</f>
        <v>4495.3</v>
      </c>
      <c r="E10" s="244">
        <f>5152+E41</f>
        <v>5346.5</v>
      </c>
      <c r="F10" s="244">
        <f>4647+F41</f>
        <v>4829.3999999999996</v>
      </c>
      <c r="G10" s="244">
        <f>3385+G41</f>
        <v>3385</v>
      </c>
      <c r="H10" s="244">
        <f>3003+H41</f>
        <v>3003</v>
      </c>
      <c r="I10" s="244">
        <f>7591+I41</f>
        <v>7591</v>
      </c>
      <c r="J10" s="244">
        <f>12352+J41</f>
        <v>12352</v>
      </c>
      <c r="K10" s="244">
        <f>15494+K41</f>
        <v>15494</v>
      </c>
    </row>
    <row r="11" spans="2:12">
      <c r="B11" s="197" t="s">
        <v>171</v>
      </c>
      <c r="C11" s="242">
        <f ca="1">C12+C13</f>
        <v>2801</v>
      </c>
      <c r="D11" s="242">
        <f t="shared" ref="D11:K11" ca="1" si="2">D12+D13</f>
        <v>4104</v>
      </c>
      <c r="E11" s="242">
        <f t="shared" ca="1" si="2"/>
        <v>4947</v>
      </c>
      <c r="F11" s="242">
        <f t="shared" ca="1" si="2"/>
        <v>4454</v>
      </c>
      <c r="G11" s="242">
        <f t="shared" ca="1" si="2"/>
        <v>3236</v>
      </c>
      <c r="H11" s="242">
        <f t="shared" ca="1" si="2"/>
        <v>2826</v>
      </c>
      <c r="I11" s="242">
        <f t="shared" ca="1" si="2"/>
        <v>7296</v>
      </c>
      <c r="J11" s="242">
        <f t="shared" ca="1" si="2"/>
        <v>12101</v>
      </c>
      <c r="K11" s="242">
        <f t="shared" ca="1" si="2"/>
        <v>13346</v>
      </c>
    </row>
    <row r="12" spans="2:12">
      <c r="B12" s="198" t="s">
        <v>442</v>
      </c>
      <c r="C12" s="243">
        <f ca="1">(C11-C13)*1</f>
        <v>2218</v>
      </c>
      <c r="D12" s="243">
        <v>884</v>
      </c>
      <c r="E12" s="243">
        <v>633</v>
      </c>
      <c r="F12" s="243">
        <v>469</v>
      </c>
      <c r="G12" s="243">
        <v>2512</v>
      </c>
      <c r="H12" s="243">
        <v>1076</v>
      </c>
      <c r="I12" s="243">
        <v>425</v>
      </c>
      <c r="J12" s="243">
        <v>220</v>
      </c>
      <c r="K12" s="243">
        <v>181</v>
      </c>
    </row>
    <row r="13" spans="2:12">
      <c r="B13" s="198" t="s">
        <v>443</v>
      </c>
      <c r="C13" s="243">
        <v>583</v>
      </c>
      <c r="D13" s="243">
        <f t="shared" ref="D13:K13" ca="1" si="3">(D11-D12)*1</f>
        <v>3220</v>
      </c>
      <c r="E13" s="243">
        <f t="shared" ca="1" si="3"/>
        <v>4314</v>
      </c>
      <c r="F13" s="243">
        <f t="shared" ca="1" si="3"/>
        <v>3985</v>
      </c>
      <c r="G13" s="243">
        <f t="shared" ca="1" si="3"/>
        <v>724</v>
      </c>
      <c r="H13" s="243">
        <f t="shared" ca="1" si="3"/>
        <v>1750</v>
      </c>
      <c r="I13" s="243">
        <f t="shared" ca="1" si="3"/>
        <v>6871</v>
      </c>
      <c r="J13" s="243">
        <f t="shared" ca="1" si="3"/>
        <v>11881</v>
      </c>
      <c r="K13" s="243">
        <f t="shared" ca="1" si="3"/>
        <v>13165</v>
      </c>
    </row>
    <row r="14" spans="2:12">
      <c r="B14" s="241" t="s">
        <v>170</v>
      </c>
      <c r="C14" s="240">
        <v>978</v>
      </c>
      <c r="D14" s="240">
        <v>188</v>
      </c>
      <c r="E14" s="240">
        <v>115</v>
      </c>
      <c r="F14" s="240">
        <v>104</v>
      </c>
      <c r="G14" s="240">
        <v>148</v>
      </c>
      <c r="H14" s="240">
        <v>152</v>
      </c>
      <c r="I14" s="240">
        <v>210</v>
      </c>
      <c r="J14" s="240">
        <v>204</v>
      </c>
      <c r="K14" s="240">
        <v>247</v>
      </c>
    </row>
    <row r="15" spans="2:12">
      <c r="B15" s="241" t="s">
        <v>169</v>
      </c>
      <c r="C15" s="240">
        <f>117+C41</f>
        <v>183.39999999999964</v>
      </c>
      <c r="D15" s="240">
        <f>91+D41</f>
        <v>204.30000000000018</v>
      </c>
      <c r="E15" s="240">
        <f>90+E41</f>
        <v>284.5</v>
      </c>
      <c r="F15" s="240">
        <f>90+F41</f>
        <v>272.39999999999964</v>
      </c>
      <c r="G15" s="240">
        <v>289.60000000000036</v>
      </c>
      <c r="H15" s="240">
        <v>276</v>
      </c>
      <c r="I15" s="240">
        <v>456.89999999999964</v>
      </c>
      <c r="J15" s="240">
        <v>442.20000000000073</v>
      </c>
      <c r="K15" s="240">
        <v>2244.7999999999993</v>
      </c>
    </row>
    <row r="16" spans="2:12">
      <c r="B16" s="199" t="s">
        <v>87</v>
      </c>
      <c r="C16" s="245">
        <v>1049</v>
      </c>
      <c r="D16" s="245">
        <v>1381</v>
      </c>
      <c r="E16" s="245">
        <v>2535</v>
      </c>
      <c r="F16" s="245">
        <v>4415</v>
      </c>
      <c r="G16" s="245">
        <v>6375</v>
      </c>
      <c r="H16" s="245">
        <v>8808</v>
      </c>
      <c r="I16" s="245">
        <v>5619</v>
      </c>
      <c r="J16" s="245">
        <v>3683</v>
      </c>
      <c r="K16" s="245">
        <v>4151</v>
      </c>
      <c r="L16" s="229"/>
    </row>
    <row r="17" spans="2:11">
      <c r="B17" s="97" t="s">
        <v>168</v>
      </c>
      <c r="C17" s="243">
        <v>308</v>
      </c>
      <c r="D17" s="243">
        <v>336</v>
      </c>
      <c r="E17" s="243">
        <v>395</v>
      </c>
      <c r="F17" s="243">
        <v>633</v>
      </c>
      <c r="G17" s="243">
        <v>572</v>
      </c>
      <c r="H17" s="243">
        <v>875</v>
      </c>
      <c r="I17" s="243">
        <v>1132</v>
      </c>
      <c r="J17" s="243">
        <v>1278</v>
      </c>
      <c r="K17" s="243">
        <v>1410</v>
      </c>
    </row>
    <row r="18" spans="2:11">
      <c r="B18" s="193" t="s">
        <v>10</v>
      </c>
      <c r="C18" s="242">
        <f>C19+C22+C26+C30+C33</f>
        <v>740.5</v>
      </c>
      <c r="D18" s="242">
        <v>1045</v>
      </c>
      <c r="E18" s="242">
        <v>2140</v>
      </c>
      <c r="F18" s="242">
        <v>3782</v>
      </c>
      <c r="G18" s="242">
        <v>5802</v>
      </c>
      <c r="H18" s="242">
        <v>7934</v>
      </c>
      <c r="I18" s="242">
        <v>4487</v>
      </c>
      <c r="J18" s="242">
        <v>2405</v>
      </c>
      <c r="K18" s="242">
        <v>2742</v>
      </c>
    </row>
    <row r="19" spans="2:11">
      <c r="B19" s="197" t="s">
        <v>444</v>
      </c>
      <c r="C19" s="242">
        <v>583</v>
      </c>
      <c r="D19" s="242">
        <v>884</v>
      </c>
      <c r="E19" s="242">
        <v>633</v>
      </c>
      <c r="F19" s="242">
        <v>469</v>
      </c>
      <c r="G19" s="242">
        <v>2512</v>
      </c>
      <c r="H19" s="242">
        <v>1076</v>
      </c>
      <c r="I19" s="242">
        <v>425</v>
      </c>
      <c r="J19" s="242">
        <v>220</v>
      </c>
      <c r="K19" s="242">
        <v>181</v>
      </c>
    </row>
    <row r="20" spans="2:11">
      <c r="B20" s="198" t="s">
        <v>442</v>
      </c>
      <c r="C20" s="243">
        <v>0</v>
      </c>
      <c r="D20" s="243">
        <v>884</v>
      </c>
      <c r="E20" s="243">
        <v>633</v>
      </c>
      <c r="F20" s="243">
        <v>469</v>
      </c>
      <c r="G20" s="243">
        <v>2512</v>
      </c>
      <c r="H20" s="243">
        <v>1076</v>
      </c>
      <c r="I20" s="243">
        <v>425</v>
      </c>
      <c r="J20" s="243">
        <v>220</v>
      </c>
      <c r="K20" s="243">
        <v>181</v>
      </c>
    </row>
    <row r="21" spans="2:11">
      <c r="B21" s="198" t="s">
        <v>443</v>
      </c>
      <c r="C21" s="243">
        <v>583</v>
      </c>
      <c r="D21" s="243">
        <v>0</v>
      </c>
      <c r="E21" s="243">
        <v>0</v>
      </c>
      <c r="F21" s="243">
        <v>0</v>
      </c>
      <c r="G21" s="243">
        <v>0</v>
      </c>
      <c r="H21" s="243">
        <v>0</v>
      </c>
      <c r="I21" s="243">
        <v>0</v>
      </c>
      <c r="J21" s="243">
        <v>0</v>
      </c>
      <c r="K21" s="243">
        <v>0</v>
      </c>
    </row>
    <row r="22" spans="2:11">
      <c r="B22" s="197" t="s">
        <v>445</v>
      </c>
      <c r="C22" s="242">
        <v>33</v>
      </c>
      <c r="D22" s="242">
        <v>50</v>
      </c>
      <c r="E22" s="242">
        <v>68</v>
      </c>
      <c r="F22" s="242">
        <v>84</v>
      </c>
      <c r="G22" s="242">
        <v>87</v>
      </c>
      <c r="H22" s="242">
        <v>158</v>
      </c>
      <c r="I22" s="242">
        <v>302</v>
      </c>
      <c r="J22" s="242">
        <v>369</v>
      </c>
      <c r="K22" s="242">
        <v>374</v>
      </c>
    </row>
    <row r="23" spans="2:11">
      <c r="B23" s="200" t="s">
        <v>446</v>
      </c>
      <c r="C23" s="246">
        <v>0.8</v>
      </c>
      <c r="D23" s="246">
        <v>0</v>
      </c>
      <c r="E23" s="246">
        <v>0</v>
      </c>
      <c r="F23" s="246">
        <v>0</v>
      </c>
      <c r="G23" s="246">
        <v>0</v>
      </c>
      <c r="H23" s="246">
        <v>5.7</v>
      </c>
      <c r="I23" s="246">
        <v>12</v>
      </c>
      <c r="J23" s="246">
        <v>3</v>
      </c>
      <c r="K23" s="246">
        <v>16</v>
      </c>
    </row>
    <row r="24" spans="2:11">
      <c r="B24" s="200" t="s">
        <v>447</v>
      </c>
      <c r="C24" s="246">
        <v>32</v>
      </c>
      <c r="D24" s="246">
        <v>50</v>
      </c>
      <c r="E24" s="246">
        <v>68</v>
      </c>
      <c r="F24" s="246">
        <v>85</v>
      </c>
      <c r="G24" s="246">
        <v>87</v>
      </c>
      <c r="H24" s="246">
        <v>153</v>
      </c>
      <c r="I24" s="246">
        <v>292</v>
      </c>
      <c r="J24" s="246">
        <v>372</v>
      </c>
      <c r="K24" s="246">
        <v>364</v>
      </c>
    </row>
    <row r="25" spans="2:11">
      <c r="B25" s="200" t="s">
        <v>448</v>
      </c>
      <c r="C25" s="246">
        <v>1.1000000000000001</v>
      </c>
      <c r="D25" s="246">
        <v>0</v>
      </c>
      <c r="E25" s="246">
        <v>0</v>
      </c>
      <c r="F25" s="246">
        <v>0.5</v>
      </c>
      <c r="G25" s="246">
        <v>0</v>
      </c>
      <c r="H25" s="246">
        <v>18</v>
      </c>
      <c r="I25" s="246">
        <v>1.4</v>
      </c>
      <c r="J25" s="246">
        <v>7.4</v>
      </c>
      <c r="K25" s="246">
        <v>1.4</v>
      </c>
    </row>
    <row r="26" spans="2:11">
      <c r="B26" s="197" t="s">
        <v>449</v>
      </c>
      <c r="C26" s="242">
        <v>49</v>
      </c>
      <c r="D26" s="242">
        <v>25</v>
      </c>
      <c r="E26" s="242">
        <v>1212</v>
      </c>
      <c r="F26" s="242">
        <v>2965</v>
      </c>
      <c r="G26" s="242">
        <v>2951</v>
      </c>
      <c r="H26" s="242">
        <v>5830</v>
      </c>
      <c r="I26" s="242">
        <v>2722</v>
      </c>
      <c r="J26" s="242">
        <v>766</v>
      </c>
      <c r="K26" s="242">
        <v>146</v>
      </c>
    </row>
    <row r="27" spans="2:11">
      <c r="B27" s="198" t="s">
        <v>450</v>
      </c>
      <c r="C27" s="243">
        <v>0.1</v>
      </c>
      <c r="D27" s="243">
        <v>0</v>
      </c>
      <c r="E27" s="243">
        <v>0.1</v>
      </c>
      <c r="F27" s="243">
        <v>0</v>
      </c>
      <c r="G27" s="243">
        <v>0.1</v>
      </c>
      <c r="H27" s="243">
        <v>0.1</v>
      </c>
      <c r="I27" s="243">
        <v>0</v>
      </c>
      <c r="J27" s="243">
        <v>0</v>
      </c>
      <c r="K27" s="243">
        <v>0</v>
      </c>
    </row>
    <row r="28" spans="2:11">
      <c r="B28" s="198" t="s">
        <v>451</v>
      </c>
      <c r="C28" s="243">
        <v>49</v>
      </c>
      <c r="D28" s="243">
        <v>25</v>
      </c>
      <c r="E28" s="243">
        <v>1212</v>
      </c>
      <c r="F28" s="243">
        <v>2965</v>
      </c>
      <c r="G28" s="243">
        <v>2951</v>
      </c>
      <c r="H28" s="243">
        <v>5830</v>
      </c>
      <c r="I28" s="243">
        <v>2722</v>
      </c>
      <c r="J28" s="243">
        <v>766</v>
      </c>
      <c r="K28" s="243">
        <v>146</v>
      </c>
    </row>
    <row r="29" spans="2:11">
      <c r="B29" s="198" t="s">
        <v>452</v>
      </c>
      <c r="C29" s="243">
        <v>0.1</v>
      </c>
      <c r="D29" s="243">
        <v>0.1</v>
      </c>
      <c r="E29" s="243">
        <v>0.1</v>
      </c>
      <c r="F29" s="243">
        <v>0</v>
      </c>
      <c r="G29" s="243">
        <v>0</v>
      </c>
      <c r="H29" s="243">
        <v>0</v>
      </c>
      <c r="I29" s="243">
        <v>0</v>
      </c>
      <c r="J29" s="243">
        <v>0</v>
      </c>
      <c r="K29" s="243">
        <v>0</v>
      </c>
    </row>
    <row r="30" spans="2:11">
      <c r="B30" s="197" t="s">
        <v>453</v>
      </c>
      <c r="C30" s="242">
        <v>67</v>
      </c>
      <c r="D30" s="242">
        <v>61</v>
      </c>
      <c r="E30" s="242">
        <v>174</v>
      </c>
      <c r="F30" s="242">
        <v>157</v>
      </c>
      <c r="G30" s="242">
        <v>126</v>
      </c>
      <c r="H30" s="242">
        <v>620</v>
      </c>
      <c r="I30" s="242">
        <v>913</v>
      </c>
      <c r="J30" s="242">
        <v>964</v>
      </c>
      <c r="K30" s="242">
        <v>1907</v>
      </c>
    </row>
    <row r="31" spans="2:11">
      <c r="B31" s="200" t="s">
        <v>454</v>
      </c>
      <c r="C31" s="246">
        <v>29</v>
      </c>
      <c r="D31" s="246">
        <v>31</v>
      </c>
      <c r="E31" s="246">
        <v>51</v>
      </c>
      <c r="F31" s="246">
        <v>61</v>
      </c>
      <c r="G31" s="246">
        <v>77</v>
      </c>
      <c r="H31" s="246">
        <v>122</v>
      </c>
      <c r="I31" s="246">
        <v>169</v>
      </c>
      <c r="J31" s="246">
        <v>225</v>
      </c>
      <c r="K31" s="246">
        <v>183</v>
      </c>
    </row>
    <row r="32" spans="2:11">
      <c r="B32" s="200" t="s">
        <v>455</v>
      </c>
      <c r="C32" s="246">
        <v>38</v>
      </c>
      <c r="D32" s="246">
        <v>30</v>
      </c>
      <c r="E32" s="246">
        <v>123</v>
      </c>
      <c r="F32" s="246">
        <v>96</v>
      </c>
      <c r="G32" s="246">
        <v>49</v>
      </c>
      <c r="H32" s="246">
        <v>498</v>
      </c>
      <c r="I32" s="246">
        <v>744</v>
      </c>
      <c r="J32" s="246">
        <v>739</v>
      </c>
      <c r="K32" s="246">
        <v>1725</v>
      </c>
    </row>
    <row r="33" spans="2:12">
      <c r="B33" s="197" t="s">
        <v>411</v>
      </c>
      <c r="C33" s="242">
        <v>8.5</v>
      </c>
      <c r="D33" s="242">
        <v>26</v>
      </c>
      <c r="E33" s="242">
        <v>53</v>
      </c>
      <c r="F33" s="242">
        <v>107</v>
      </c>
      <c r="G33" s="242">
        <v>127</v>
      </c>
      <c r="H33" s="242">
        <v>249</v>
      </c>
      <c r="I33" s="242">
        <v>125</v>
      </c>
      <c r="J33" s="242">
        <v>86</v>
      </c>
      <c r="K33" s="242">
        <v>133</v>
      </c>
    </row>
    <row r="34" spans="2:12">
      <c r="B34" s="198" t="s">
        <v>456</v>
      </c>
      <c r="C34" s="243">
        <v>1.2</v>
      </c>
      <c r="D34" s="243">
        <v>2.2999999999999998</v>
      </c>
      <c r="E34" s="243">
        <v>30</v>
      </c>
      <c r="F34" s="243">
        <v>70</v>
      </c>
      <c r="G34" s="243">
        <v>87</v>
      </c>
      <c r="H34" s="243">
        <v>205</v>
      </c>
      <c r="I34" s="243">
        <v>50</v>
      </c>
      <c r="J34" s="243">
        <v>22</v>
      </c>
      <c r="K34" s="243">
        <v>72</v>
      </c>
    </row>
    <row r="35" spans="2:12">
      <c r="B35" s="198" t="s">
        <v>9</v>
      </c>
      <c r="C35" s="243">
        <v>4.4000000000000004</v>
      </c>
      <c r="D35" s="243">
        <v>8.6999999999999993</v>
      </c>
      <c r="E35" s="243">
        <v>13</v>
      </c>
      <c r="F35" s="243">
        <v>21</v>
      </c>
      <c r="G35" s="243">
        <v>23</v>
      </c>
      <c r="H35" s="243">
        <v>32</v>
      </c>
      <c r="I35" s="243">
        <v>41</v>
      </c>
      <c r="J35" s="243">
        <v>43</v>
      </c>
      <c r="K35" s="243">
        <v>42</v>
      </c>
    </row>
    <row r="36" spans="2:12">
      <c r="B36" s="198" t="s">
        <v>457</v>
      </c>
      <c r="C36" s="243">
        <v>2.9</v>
      </c>
      <c r="D36" s="243">
        <v>15</v>
      </c>
      <c r="E36" s="243">
        <v>9.9</v>
      </c>
      <c r="F36" s="243">
        <v>16</v>
      </c>
      <c r="G36" s="243">
        <v>17</v>
      </c>
      <c r="H36" s="243">
        <v>13</v>
      </c>
      <c r="I36" s="243">
        <v>34</v>
      </c>
      <c r="J36" s="243">
        <v>20</v>
      </c>
      <c r="K36" s="243">
        <v>20</v>
      </c>
    </row>
    <row r="37" spans="2:12">
      <c r="B37" s="193" t="s">
        <v>167</v>
      </c>
      <c r="C37" s="242">
        <v>509</v>
      </c>
      <c r="D37" s="242">
        <v>547</v>
      </c>
      <c r="E37" s="242">
        <v>746</v>
      </c>
      <c r="F37" s="242">
        <v>790</v>
      </c>
      <c r="G37" s="242">
        <v>544</v>
      </c>
      <c r="H37" s="242">
        <v>515</v>
      </c>
      <c r="I37" s="242">
        <v>639</v>
      </c>
      <c r="J37" s="242">
        <v>674</v>
      </c>
      <c r="K37" s="242">
        <v>814</v>
      </c>
    </row>
    <row r="38" spans="2:12">
      <c r="B38" s="95" t="s">
        <v>166</v>
      </c>
      <c r="C38" s="240">
        <v>-510</v>
      </c>
      <c r="D38" s="240">
        <v>-548</v>
      </c>
      <c r="E38" s="240">
        <v>-748</v>
      </c>
      <c r="F38" s="240">
        <v>-792</v>
      </c>
      <c r="G38" s="240">
        <v>-546</v>
      </c>
      <c r="H38" s="240">
        <v>-532</v>
      </c>
      <c r="I38" s="240">
        <v>-641</v>
      </c>
      <c r="J38" s="240">
        <v>-682</v>
      </c>
      <c r="K38" s="240">
        <v>-819</v>
      </c>
    </row>
    <row r="39" spans="2:12">
      <c r="B39" s="95" t="s">
        <v>165</v>
      </c>
      <c r="C39" s="240">
        <v>0.6</v>
      </c>
      <c r="D39" s="240">
        <v>0.7</v>
      </c>
      <c r="E39" s="240">
        <v>2.5</v>
      </c>
      <c r="F39" s="240">
        <v>1.6</v>
      </c>
      <c r="G39" s="240">
        <v>1.4</v>
      </c>
      <c r="H39" s="240">
        <v>17</v>
      </c>
      <c r="I39" s="240">
        <v>2.1</v>
      </c>
      <c r="J39" s="240">
        <v>8.8000000000000007</v>
      </c>
      <c r="K39" s="240">
        <v>4.2</v>
      </c>
    </row>
    <row r="40" spans="2:12" ht="15" thickBot="1">
      <c r="B40" s="195" t="s">
        <v>462</v>
      </c>
      <c r="C40" s="247">
        <v>5833</v>
      </c>
      <c r="D40" s="247">
        <v>7009</v>
      </c>
      <c r="E40" s="247">
        <v>9522</v>
      </c>
      <c r="F40" s="247">
        <v>11387</v>
      </c>
      <c r="G40" s="247">
        <v>12450</v>
      </c>
      <c r="H40" s="247">
        <v>14559</v>
      </c>
      <c r="I40" s="247">
        <v>16140</v>
      </c>
      <c r="J40" s="247">
        <v>19198</v>
      </c>
      <c r="K40" s="247">
        <v>23115</v>
      </c>
    </row>
    <row r="41" spans="2:12">
      <c r="C41" s="248">
        <v>66.399999999999636</v>
      </c>
      <c r="D41" s="248">
        <v>113.30000000000018</v>
      </c>
      <c r="E41" s="248">
        <v>194.5</v>
      </c>
      <c r="F41" s="248">
        <v>182.39999999999964</v>
      </c>
    </row>
    <row r="42" spans="2:12">
      <c r="B42" s="193" t="s">
        <v>163</v>
      </c>
      <c r="C42" s="242">
        <v>27</v>
      </c>
      <c r="D42" s="242">
        <v>27</v>
      </c>
      <c r="E42" s="242">
        <v>27</v>
      </c>
      <c r="F42" s="242">
        <v>27</v>
      </c>
      <c r="G42" s="242">
        <v>27</v>
      </c>
      <c r="H42" s="242">
        <v>27</v>
      </c>
      <c r="I42" s="242">
        <v>27</v>
      </c>
      <c r="J42" s="242">
        <v>27</v>
      </c>
      <c r="K42" s="242">
        <v>27</v>
      </c>
    </row>
    <row r="43" spans="2:12">
      <c r="B43" s="95" t="s">
        <v>583</v>
      </c>
      <c r="C43" s="242">
        <v>3626</v>
      </c>
      <c r="D43" s="242">
        <v>5318</v>
      </c>
      <c r="E43" s="242">
        <v>7003</v>
      </c>
      <c r="F43" s="242">
        <v>8891</v>
      </c>
      <c r="G43" s="242">
        <v>9954</v>
      </c>
      <c r="H43" s="242">
        <v>11411</v>
      </c>
      <c r="I43" s="242">
        <v>12581</v>
      </c>
      <c r="J43" s="242">
        <v>14963</v>
      </c>
      <c r="K43" s="242">
        <v>18018</v>
      </c>
      <c r="L43" s="208"/>
    </row>
    <row r="44" spans="2:12">
      <c r="B44" s="95" t="s">
        <v>162</v>
      </c>
      <c r="C44" s="240">
        <f>SUM(C45:C46)</f>
        <v>4.4117647058823515</v>
      </c>
      <c r="D44" s="240">
        <f t="shared" ref="D44:K44" si="4">SUM(D45:D46)</f>
        <v>81.64705882352942</v>
      </c>
      <c r="E44" s="240">
        <f t="shared" si="4"/>
        <v>258.41176470588232</v>
      </c>
      <c r="F44" s="240">
        <f t="shared" si="4"/>
        <v>499.58823529411757</v>
      </c>
      <c r="G44" s="240">
        <f t="shared" si="4"/>
        <v>459.41176470588243</v>
      </c>
      <c r="H44" s="240">
        <f t="shared" si="4"/>
        <v>807.11764705882354</v>
      </c>
      <c r="I44" s="240">
        <f t="shared" si="4"/>
        <v>353.35294117647061</v>
      </c>
      <c r="J44" s="240">
        <f t="shared" si="4"/>
        <v>243.88235294117646</v>
      </c>
      <c r="K44" s="240">
        <f t="shared" si="4"/>
        <v>219.47058823529414</v>
      </c>
      <c r="L44" s="211"/>
    </row>
    <row r="45" spans="2:12">
      <c r="B45" s="106" t="s">
        <v>161</v>
      </c>
      <c r="C45" s="246">
        <v>-9.2941176470588243</v>
      </c>
      <c r="D45" s="246">
        <v>-15.176470588235293</v>
      </c>
      <c r="E45" s="246">
        <v>53.705882352941174</v>
      </c>
      <c r="F45" s="246">
        <v>156.29411764705881</v>
      </c>
      <c r="G45" s="246">
        <v>157.70588235294119</v>
      </c>
      <c r="H45" s="246">
        <v>325.05882352941177</v>
      </c>
      <c r="I45" s="246">
        <v>147.1764705882353</v>
      </c>
      <c r="J45" s="246">
        <v>86.941176470588232</v>
      </c>
      <c r="K45" s="246">
        <v>135.23529411764707</v>
      </c>
    </row>
    <row r="46" spans="2:12">
      <c r="B46" s="296" t="s">
        <v>160</v>
      </c>
      <c r="C46" s="264">
        <v>13.705882352941176</v>
      </c>
      <c r="D46" s="264">
        <v>96.82352941176471</v>
      </c>
      <c r="E46" s="264">
        <v>204.70588235294116</v>
      </c>
      <c r="F46" s="264">
        <v>343.29411764705878</v>
      </c>
      <c r="G46" s="264">
        <v>301.70588235294122</v>
      </c>
      <c r="H46" s="264">
        <v>482.05882352941177</v>
      </c>
      <c r="I46" s="264">
        <v>206.1764705882353</v>
      </c>
      <c r="J46" s="264">
        <v>156.94117647058823</v>
      </c>
      <c r="K46" s="264">
        <v>84.235294117647058</v>
      </c>
    </row>
    <row r="47" spans="2:12">
      <c r="B47" s="95" t="s">
        <v>18</v>
      </c>
      <c r="C47" s="240">
        <f>SUM(C48:C51)</f>
        <v>915.02941176470586</v>
      </c>
      <c r="D47" s="240">
        <f t="shared" ref="D47:K47" si="5">SUM(D48:D51)</f>
        <v>101.61764705882356</v>
      </c>
      <c r="E47" s="240">
        <f t="shared" si="5"/>
        <v>-34.970588235294116</v>
      </c>
      <c r="F47" s="240">
        <f t="shared" si="5"/>
        <v>-238.02941176470605</v>
      </c>
      <c r="G47" s="240">
        <f t="shared" si="5"/>
        <v>-164.47058823529395</v>
      </c>
      <c r="H47" s="240">
        <f t="shared" si="5"/>
        <v>-719.20588235294099</v>
      </c>
      <c r="I47" s="240">
        <f t="shared" si="5"/>
        <v>41.882352941176578</v>
      </c>
      <c r="J47" s="240">
        <f t="shared" si="5"/>
        <v>744.70588235294122</v>
      </c>
      <c r="K47" s="240">
        <f t="shared" si="5"/>
        <v>1233.6764705882354</v>
      </c>
    </row>
    <row r="48" spans="2:12">
      <c r="B48" s="231" t="s">
        <v>458</v>
      </c>
      <c r="C48" s="243">
        <v>-0.44117647058827281</v>
      </c>
      <c r="D48" s="243">
        <v>-1.9647058823529306</v>
      </c>
      <c r="E48" s="243">
        <v>117.35882352941175</v>
      </c>
      <c r="F48" s="243">
        <v>298.44117647058818</v>
      </c>
      <c r="G48" s="243">
        <v>294.55882352941182</v>
      </c>
      <c r="H48" s="243">
        <v>543.1882352941177</v>
      </c>
      <c r="I48" s="243">
        <v>287.96470588235297</v>
      </c>
      <c r="J48" s="243">
        <v>129.21176470588242</v>
      </c>
      <c r="K48" s="243">
        <v>92.2529411764706</v>
      </c>
    </row>
    <row r="49" spans="2:11">
      <c r="B49" s="231" t="s">
        <v>459</v>
      </c>
      <c r="C49" s="243">
        <v>35.558823529411725</v>
      </c>
      <c r="D49" s="243">
        <v>76.035294117647084</v>
      </c>
      <c r="E49" s="243">
        <v>259.35882352941178</v>
      </c>
      <c r="F49" s="243">
        <v>572.44117647058818</v>
      </c>
      <c r="G49" s="243">
        <v>546.55882352941182</v>
      </c>
      <c r="H49" s="243">
        <v>764.1882352941177</v>
      </c>
      <c r="I49" s="243">
        <v>507.96470588235297</v>
      </c>
      <c r="J49" s="243">
        <v>420.21176470588239</v>
      </c>
      <c r="K49" s="243">
        <v>540.25294117647059</v>
      </c>
    </row>
    <row r="50" spans="2:11">
      <c r="B50" s="231" t="s">
        <v>159</v>
      </c>
      <c r="C50" s="243">
        <v>-20.794117647058826</v>
      </c>
      <c r="D50" s="243">
        <v>37.523529411764706</v>
      </c>
      <c r="E50" s="243">
        <v>-457.59411764705885</v>
      </c>
      <c r="F50" s="243">
        <v>-1224.2058823529412</v>
      </c>
      <c r="G50" s="243">
        <v>-1126.2941176470588</v>
      </c>
      <c r="H50" s="243">
        <v>-2319.0411764705882</v>
      </c>
      <c r="I50" s="243">
        <v>-902.02352941176468</v>
      </c>
      <c r="J50" s="243">
        <v>162.14117647058822</v>
      </c>
      <c r="K50" s="243">
        <v>587.33529411764709</v>
      </c>
    </row>
    <row r="51" spans="2:11">
      <c r="B51" s="231" t="s">
        <v>158</v>
      </c>
      <c r="C51" s="243">
        <v>900.70588235294122</v>
      </c>
      <c r="D51" s="243">
        <v>-9.9764705882352942</v>
      </c>
      <c r="E51" s="243">
        <v>45.905882352941177</v>
      </c>
      <c r="F51" s="243">
        <v>115.29411764705881</v>
      </c>
      <c r="G51" s="243">
        <v>120.70588235294119</v>
      </c>
      <c r="H51" s="243">
        <v>292.45882352941175</v>
      </c>
      <c r="I51" s="243">
        <v>147.97647058823532</v>
      </c>
      <c r="J51" s="243">
        <v>33.141176470588235</v>
      </c>
      <c r="K51" s="243">
        <v>13.835294117647052</v>
      </c>
    </row>
    <row r="52" spans="2:11">
      <c r="B52" s="193" t="s">
        <v>88</v>
      </c>
      <c r="C52" s="242">
        <f>SUM(C53:C61)</f>
        <v>1084.8529411764707</v>
      </c>
      <c r="D52" s="242">
        <f t="shared" ref="D52:K52" si="6">SUM(D53:D61)</f>
        <v>1324.9117647058824</v>
      </c>
      <c r="E52" s="242">
        <f t="shared" si="6"/>
        <v>2066.8529411764707</v>
      </c>
      <c r="F52" s="242">
        <f t="shared" si="6"/>
        <v>1928.1470588235293</v>
      </c>
      <c r="G52" s="242">
        <f t="shared" si="6"/>
        <v>1890.3529411764707</v>
      </c>
      <c r="H52" s="242">
        <f t="shared" si="6"/>
        <v>2560.0294117647054</v>
      </c>
      <c r="I52" s="242">
        <f t="shared" si="6"/>
        <v>2827.5882352941171</v>
      </c>
      <c r="J52" s="242">
        <f t="shared" si="6"/>
        <v>3032.4705882352932</v>
      </c>
      <c r="K52" s="242">
        <f t="shared" si="6"/>
        <v>3300.6176470588234</v>
      </c>
    </row>
    <row r="53" spans="2:11">
      <c r="B53" s="296" t="s">
        <v>157</v>
      </c>
      <c r="C53" s="264">
        <v>662.76143790849676</v>
      </c>
      <c r="D53" s="264">
        <v>677.3790849673203</v>
      </c>
      <c r="E53" s="264">
        <v>1120.9725490196079</v>
      </c>
      <c r="F53" s="264">
        <v>1315.0274509803921</v>
      </c>
      <c r="G53" s="264">
        <v>1069.3169934640523</v>
      </c>
      <c r="H53" s="264">
        <v>1731.681045751634</v>
      </c>
      <c r="I53" s="264">
        <v>1818.9542483660132</v>
      </c>
      <c r="J53" s="264">
        <v>1690.6745098039216</v>
      </c>
      <c r="K53" s="264">
        <v>1906.8908496732026</v>
      </c>
    </row>
    <row r="54" spans="2:11">
      <c r="B54" s="263" t="s">
        <v>156</v>
      </c>
      <c r="C54" s="264">
        <v>-34.238562091503269</v>
      </c>
      <c r="D54" s="264">
        <v>-7.6209150326797364</v>
      </c>
      <c r="E54" s="264">
        <v>103.97254901960785</v>
      </c>
      <c r="F54" s="264">
        <v>280.02745098039213</v>
      </c>
      <c r="G54" s="264">
        <v>225.3169934640523</v>
      </c>
      <c r="H54" s="264">
        <v>439.68104575163397</v>
      </c>
      <c r="I54" s="264">
        <v>322.95424836601308</v>
      </c>
      <c r="J54" s="264">
        <v>258.67450980392164</v>
      </c>
      <c r="K54" s="264">
        <v>128.89084967320258</v>
      </c>
    </row>
    <row r="55" spans="2:11">
      <c r="B55" s="180" t="s">
        <v>460</v>
      </c>
      <c r="C55" s="246">
        <v>-60.238562091503269</v>
      </c>
      <c r="D55" s="246">
        <v>-49.620915032679733</v>
      </c>
      <c r="E55" s="246">
        <v>56.972549019607854</v>
      </c>
      <c r="F55" s="246">
        <v>222.02745098039213</v>
      </c>
      <c r="G55" s="246">
        <v>151.3169934640523</v>
      </c>
      <c r="H55" s="246">
        <v>349.68104575163397</v>
      </c>
      <c r="I55" s="246">
        <v>201.95424836601308</v>
      </c>
      <c r="J55" s="246">
        <v>103.67450980392161</v>
      </c>
      <c r="K55" s="246">
        <v>28.890849673202567</v>
      </c>
    </row>
    <row r="56" spans="2:11">
      <c r="B56" s="180" t="s">
        <v>461</v>
      </c>
      <c r="C56" s="246">
        <v>-34.238562091503269</v>
      </c>
      <c r="D56" s="246">
        <v>-44.620915032679733</v>
      </c>
      <c r="E56" s="246">
        <v>-4.0274509803921461</v>
      </c>
      <c r="F56" s="246">
        <v>139.02745098039213</v>
      </c>
      <c r="G56" s="246">
        <v>135.3169934640523</v>
      </c>
      <c r="H56" s="246">
        <v>308.68104575163397</v>
      </c>
      <c r="I56" s="246">
        <v>152.95424836601308</v>
      </c>
      <c r="J56" s="246">
        <v>35.674509803921609</v>
      </c>
      <c r="K56" s="246">
        <v>-83.109150326797433</v>
      </c>
    </row>
    <row r="57" spans="2:11">
      <c r="B57" s="263" t="s">
        <v>16</v>
      </c>
      <c r="C57" s="264">
        <v>372.7614379084967</v>
      </c>
      <c r="D57" s="264">
        <v>484.37908496732024</v>
      </c>
      <c r="E57" s="264">
        <v>735.97254901960787</v>
      </c>
      <c r="F57" s="264">
        <v>559.02745098039213</v>
      </c>
      <c r="G57" s="264">
        <v>764.3169934640523</v>
      </c>
      <c r="H57" s="264">
        <v>955.68104575163397</v>
      </c>
      <c r="I57" s="264">
        <v>784.95424836601319</v>
      </c>
      <c r="J57" s="264">
        <v>793.67450980392164</v>
      </c>
      <c r="K57" s="264">
        <v>901.89084967320264</v>
      </c>
    </row>
    <row r="58" spans="2:11">
      <c r="B58" s="265" t="s">
        <v>155</v>
      </c>
      <c r="C58" s="246">
        <v>-53.738562091503269</v>
      </c>
      <c r="D58" s="246">
        <v>-84.92091503267973</v>
      </c>
      <c r="E58" s="246">
        <v>-51.027450980392146</v>
      </c>
      <c r="F58" s="246">
        <v>81.027450980392132</v>
      </c>
      <c r="G58" s="246">
        <v>61.316993464052302</v>
      </c>
      <c r="H58" s="246">
        <v>218.68104575163397</v>
      </c>
      <c r="I58" s="246">
        <v>30.954248366013076</v>
      </c>
      <c r="J58" s="246">
        <v>-119.32549019607839</v>
      </c>
      <c r="K58" s="246">
        <v>-183.10915032679742</v>
      </c>
    </row>
    <row r="59" spans="2:11">
      <c r="B59" s="180" t="s">
        <v>154</v>
      </c>
      <c r="C59" s="246">
        <v>181.76143790849673</v>
      </c>
      <c r="D59" s="246">
        <v>204.37908496732024</v>
      </c>
      <c r="E59" s="246">
        <v>369.97254901960781</v>
      </c>
      <c r="F59" s="246">
        <v>252.02745098039213</v>
      </c>
      <c r="G59" s="246">
        <v>472.3169934640523</v>
      </c>
      <c r="H59" s="246">
        <v>583.68104575163397</v>
      </c>
      <c r="I59" s="246">
        <v>348.95424836601308</v>
      </c>
      <c r="J59" s="246">
        <v>186.67450980392161</v>
      </c>
      <c r="K59" s="246">
        <v>79.890849673202567</v>
      </c>
    </row>
    <row r="60" spans="2:11">
      <c r="B60" s="180" t="s">
        <v>153</v>
      </c>
      <c r="C60" s="246">
        <v>-60.238562091503269</v>
      </c>
      <c r="D60" s="246">
        <v>-87.320915032679736</v>
      </c>
      <c r="E60" s="246">
        <v>-50.427450980392152</v>
      </c>
      <c r="F60" s="246">
        <v>82.427450980392138</v>
      </c>
      <c r="G60" s="246">
        <v>63.816993464052302</v>
      </c>
      <c r="H60" s="246">
        <v>221.08104575163398</v>
      </c>
      <c r="I60" s="246">
        <v>30.954248366013076</v>
      </c>
      <c r="J60" s="246">
        <v>-118.92549019607839</v>
      </c>
      <c r="K60" s="246">
        <v>-183.00915032679745</v>
      </c>
    </row>
    <row r="61" spans="2:11">
      <c r="B61" s="180" t="s">
        <v>152</v>
      </c>
      <c r="C61" s="246">
        <v>110.26143790849672</v>
      </c>
      <c r="D61" s="246">
        <v>232.87908496732024</v>
      </c>
      <c r="E61" s="246">
        <v>-215.52745098039219</v>
      </c>
      <c r="F61" s="246">
        <v>-1002.4725490196079</v>
      </c>
      <c r="G61" s="246">
        <v>-1052.6830065359477</v>
      </c>
      <c r="H61" s="246">
        <v>-2248.818954248366</v>
      </c>
      <c r="I61" s="246">
        <v>-865.04575163398692</v>
      </c>
      <c r="J61" s="246">
        <v>201.67450980392158</v>
      </c>
      <c r="K61" s="246">
        <v>703.39084967320264</v>
      </c>
    </row>
    <row r="62" spans="2:11">
      <c r="B62" s="193" t="s">
        <v>151</v>
      </c>
      <c r="C62" s="242">
        <v>175.70588235294119</v>
      </c>
      <c r="D62" s="242">
        <v>155.8235294117647</v>
      </c>
      <c r="E62" s="242">
        <v>201.70588235294116</v>
      </c>
      <c r="F62" s="242">
        <v>279.29411764705878</v>
      </c>
      <c r="G62" s="242">
        <v>283.70588235294122</v>
      </c>
      <c r="H62" s="242">
        <v>473.05882352941177</v>
      </c>
      <c r="I62" s="242">
        <v>309.1764705882353</v>
      </c>
      <c r="J62" s="242">
        <v>186.94117647058823</v>
      </c>
      <c r="K62" s="242">
        <v>316.23529411764707</v>
      </c>
    </row>
    <row r="63" spans="2:11" ht="15" thickBot="1">
      <c r="B63" s="195" t="s">
        <v>164</v>
      </c>
      <c r="C63" s="247">
        <f>C62+C52+C47+C44+C43+C42</f>
        <v>5833</v>
      </c>
      <c r="D63" s="247">
        <f t="shared" ref="D63:K63" si="7">D62+D52+D47+D44+D43+D42</f>
        <v>7009</v>
      </c>
      <c r="E63" s="247">
        <f t="shared" si="7"/>
        <v>9522</v>
      </c>
      <c r="F63" s="247">
        <f t="shared" si="7"/>
        <v>11387</v>
      </c>
      <c r="G63" s="247">
        <f t="shared" si="7"/>
        <v>12450</v>
      </c>
      <c r="H63" s="247">
        <f t="shared" si="7"/>
        <v>14559</v>
      </c>
      <c r="I63" s="247">
        <f t="shared" si="7"/>
        <v>16140</v>
      </c>
      <c r="J63" s="247">
        <f t="shared" si="7"/>
        <v>19198</v>
      </c>
      <c r="K63" s="247">
        <f t="shared" si="7"/>
        <v>23115</v>
      </c>
    </row>
    <row r="92" spans="3:11">
      <c r="C92" s="208">
        <f>C63</f>
        <v>5833</v>
      </c>
      <c r="D92" s="208">
        <f t="shared" ref="D92:K92" si="8">D63</f>
        <v>7009</v>
      </c>
      <c r="E92" s="208">
        <f t="shared" si="8"/>
        <v>9522</v>
      </c>
      <c r="F92" s="208">
        <f t="shared" si="8"/>
        <v>11387</v>
      </c>
      <c r="G92" s="208">
        <f t="shared" si="8"/>
        <v>12450</v>
      </c>
      <c r="H92" s="208">
        <f t="shared" si="8"/>
        <v>14559</v>
      </c>
      <c r="I92" s="208">
        <f t="shared" si="8"/>
        <v>16140</v>
      </c>
      <c r="J92" s="208">
        <f t="shared" si="8"/>
        <v>19198</v>
      </c>
      <c r="K92" s="208">
        <f t="shared" si="8"/>
        <v>23115</v>
      </c>
    </row>
    <row r="93" spans="3:11">
      <c r="C93" s="208">
        <f>C91-C92</f>
        <v>-5833</v>
      </c>
      <c r="D93" s="208">
        <f t="shared" ref="D93:K93" si="9">D91-D92</f>
        <v>-7009</v>
      </c>
      <c r="E93" s="208">
        <f t="shared" si="9"/>
        <v>-9522</v>
      </c>
      <c r="F93" s="208">
        <f t="shared" si="9"/>
        <v>-11387</v>
      </c>
      <c r="G93" s="208">
        <f t="shared" si="9"/>
        <v>-12450</v>
      </c>
      <c r="H93" s="208">
        <f t="shared" si="9"/>
        <v>-14559</v>
      </c>
      <c r="I93" s="208">
        <f t="shared" si="9"/>
        <v>-16140</v>
      </c>
      <c r="J93" s="208">
        <f t="shared" si="9"/>
        <v>-19198</v>
      </c>
      <c r="K93" s="208">
        <f t="shared" si="9"/>
        <v>-23115</v>
      </c>
    </row>
  </sheetData>
  <sheetProtection algorithmName="SHA-512" hashValue="4N/sn7//mG2sJ9sszrZQPvoJK8M0V1UoZB+Qh8TnpItdH94XecPL4RM6u5sU2MQ2D7GOtQ+PDXm5zf+2h5E13Q==" saltValue="7pG2JHzzj0NJxlxGq9wEVA==" spinCount="100000" sheet="1" objects="1" scenarios="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7AFFA-EE6F-4BEF-B272-1239252CF781}">
  <dimension ref="A2:M79"/>
  <sheetViews>
    <sheetView showGridLines="0" zoomScale="115" zoomScaleNormal="115" workbookViewId="0">
      <pane ySplit="2" topLeftCell="A3" activePane="bottomLeft" state="frozen"/>
      <selection activeCell="B24" sqref="B24"/>
      <selection pane="bottomLeft" activeCell="C54" sqref="C54"/>
    </sheetView>
  </sheetViews>
  <sheetFormatPr defaultRowHeight="14.4"/>
  <cols>
    <col min="1" max="1" width="1.88671875" customWidth="1"/>
    <col min="2" max="2" width="56.88671875" customWidth="1"/>
    <col min="3" max="6" width="9.44140625" customWidth="1"/>
    <col min="7" max="8" width="9.44140625" bestFit="1" customWidth="1"/>
    <col min="9" max="11" width="10" bestFit="1" customWidth="1"/>
  </cols>
  <sheetData>
    <row r="2" spans="1:11">
      <c r="A2" t="s">
        <v>29</v>
      </c>
      <c r="B2" s="115" t="s">
        <v>209</v>
      </c>
      <c r="C2" s="143">
        <v>2016</v>
      </c>
      <c r="D2" s="143">
        <f>C2+1</f>
        <v>2017</v>
      </c>
      <c r="E2" s="143">
        <f t="shared" ref="E2:K2" si="0">D2+1</f>
        <v>2018</v>
      </c>
      <c r="F2" s="143">
        <f t="shared" si="0"/>
        <v>2019</v>
      </c>
      <c r="G2" s="143">
        <f t="shared" si="0"/>
        <v>2020</v>
      </c>
      <c r="H2" s="143">
        <f t="shared" si="0"/>
        <v>2021</v>
      </c>
      <c r="I2" s="143">
        <f t="shared" si="0"/>
        <v>2022</v>
      </c>
      <c r="J2" s="143">
        <f t="shared" si="0"/>
        <v>2023</v>
      </c>
      <c r="K2" s="143">
        <f t="shared" si="0"/>
        <v>2024</v>
      </c>
    </row>
    <row r="3" spans="1:11">
      <c r="B3" s="108" t="s">
        <v>43</v>
      </c>
      <c r="C3" s="107">
        <v>6173</v>
      </c>
      <c r="D3" s="107">
        <v>7033</v>
      </c>
      <c r="E3" s="107">
        <v>8965</v>
      </c>
      <c r="F3" s="107">
        <v>9797</v>
      </c>
      <c r="G3" s="107">
        <v>9154</v>
      </c>
      <c r="H3" s="107">
        <v>8720</v>
      </c>
      <c r="I3" s="107">
        <v>10298</v>
      </c>
      <c r="J3" s="107">
        <v>14442</v>
      </c>
      <c r="K3" s="107">
        <v>16536</v>
      </c>
    </row>
    <row r="4" spans="1:11">
      <c r="B4" s="100" t="s">
        <v>351</v>
      </c>
      <c r="C4" s="101"/>
      <c r="D4" s="146">
        <f>D3/C3-1</f>
        <v>0.13931637777417794</v>
      </c>
      <c r="E4" s="146">
        <f t="shared" ref="E4:K4" si="1">E3/D3-1</f>
        <v>0.27470496232048913</v>
      </c>
      <c r="F4" s="146">
        <f t="shared" si="1"/>
        <v>9.2805354155047315E-2</v>
      </c>
      <c r="G4" s="146">
        <f t="shared" si="1"/>
        <v>-6.5632336429519267E-2</v>
      </c>
      <c r="H4" s="146">
        <f t="shared" si="1"/>
        <v>-4.7410967882892674E-2</v>
      </c>
      <c r="I4" s="146">
        <f t="shared" si="1"/>
        <v>0.18096330275229366</v>
      </c>
      <c r="J4" s="146">
        <f t="shared" si="1"/>
        <v>0.40240823460866193</v>
      </c>
      <c r="K4" s="146">
        <f t="shared" si="1"/>
        <v>0.14499376817615284</v>
      </c>
    </row>
    <row r="5" spans="1:11">
      <c r="B5" s="100"/>
      <c r="C5" s="101"/>
      <c r="D5" s="146"/>
      <c r="E5" s="146"/>
      <c r="F5" s="146"/>
      <c r="G5" s="146"/>
      <c r="H5" s="146"/>
      <c r="I5" s="146"/>
      <c r="J5" s="146"/>
      <c r="K5" s="146"/>
    </row>
    <row r="6" spans="1:11">
      <c r="B6" s="114" t="s">
        <v>207</v>
      </c>
      <c r="C6" s="99"/>
      <c r="D6" s="99"/>
      <c r="E6" s="99"/>
      <c r="F6" s="99"/>
      <c r="G6" s="99"/>
      <c r="H6" s="99"/>
      <c r="I6" s="99"/>
      <c r="J6" s="99"/>
      <c r="K6" s="99"/>
    </row>
    <row r="7" spans="1:11">
      <c r="B7" s="155" t="s">
        <v>206</v>
      </c>
      <c r="C7" s="101">
        <v>74</v>
      </c>
      <c r="D7" s="101">
        <v>113</v>
      </c>
      <c r="E7" s="101">
        <v>122</v>
      </c>
      <c r="F7" s="101">
        <v>141</v>
      </c>
      <c r="G7" s="101">
        <v>166</v>
      </c>
      <c r="H7" s="101">
        <v>186</v>
      </c>
      <c r="I7" s="101">
        <v>281</v>
      </c>
      <c r="J7" s="101">
        <v>385</v>
      </c>
      <c r="K7" s="101">
        <v>462</v>
      </c>
    </row>
    <row r="8" spans="1:11">
      <c r="B8" s="155" t="s">
        <v>205</v>
      </c>
      <c r="C8" s="101">
        <v>3462</v>
      </c>
      <c r="D8" s="101">
        <v>3626</v>
      </c>
      <c r="E8" s="101">
        <v>4537</v>
      </c>
      <c r="F8" s="101">
        <v>5081</v>
      </c>
      <c r="G8" s="101">
        <v>4684</v>
      </c>
      <c r="H8" s="101">
        <v>5149</v>
      </c>
      <c r="I8" s="101">
        <v>5872</v>
      </c>
      <c r="J8" s="101">
        <v>7927</v>
      </c>
      <c r="K8" s="101">
        <v>8666</v>
      </c>
    </row>
    <row r="9" spans="1:11">
      <c r="B9" s="155" t="s">
        <v>204</v>
      </c>
      <c r="C9" s="101">
        <v>113</v>
      </c>
      <c r="D9" s="101">
        <v>122</v>
      </c>
      <c r="E9" s="101">
        <v>141</v>
      </c>
      <c r="F9" s="101">
        <v>166</v>
      </c>
      <c r="G9" s="101">
        <v>186</v>
      </c>
      <c r="H9" s="101">
        <v>281</v>
      </c>
      <c r="I9" s="101">
        <v>385</v>
      </c>
      <c r="J9" s="101">
        <v>462</v>
      </c>
      <c r="K9" s="101">
        <v>395</v>
      </c>
    </row>
    <row r="10" spans="1:11">
      <c r="B10" s="153" t="s">
        <v>355</v>
      </c>
      <c r="C10" s="154">
        <f>C7+C8-C9</f>
        <v>3423</v>
      </c>
      <c r="D10" s="154">
        <f t="shared" ref="D10:K10" si="2">D7+D8-D9</f>
        <v>3617</v>
      </c>
      <c r="E10" s="154">
        <f t="shared" si="2"/>
        <v>4518</v>
      </c>
      <c r="F10" s="154">
        <f t="shared" si="2"/>
        <v>5056</v>
      </c>
      <c r="G10" s="154">
        <f t="shared" si="2"/>
        <v>4664</v>
      </c>
      <c r="H10" s="154">
        <f t="shared" si="2"/>
        <v>5054</v>
      </c>
      <c r="I10" s="154">
        <f t="shared" si="2"/>
        <v>5768</v>
      </c>
      <c r="J10" s="154">
        <f t="shared" si="2"/>
        <v>7850</v>
      </c>
      <c r="K10" s="154">
        <f t="shared" si="2"/>
        <v>8733</v>
      </c>
    </row>
    <row r="11" spans="1:11">
      <c r="B11" s="106" t="s">
        <v>203</v>
      </c>
      <c r="C11" s="101">
        <v>-49</v>
      </c>
      <c r="D11" s="101">
        <v>-17</v>
      </c>
      <c r="E11" s="101">
        <v>-42</v>
      </c>
      <c r="F11" s="101">
        <v>-210</v>
      </c>
      <c r="G11" s="101">
        <v>84</v>
      </c>
      <c r="H11" s="101">
        <v>-206</v>
      </c>
      <c r="I11" s="101">
        <v>-149</v>
      </c>
      <c r="J11" s="101">
        <v>-63</v>
      </c>
      <c r="K11" s="101">
        <v>-197</v>
      </c>
    </row>
    <row r="12" spans="1:11">
      <c r="B12" s="106" t="s">
        <v>202</v>
      </c>
      <c r="C12" s="101">
        <v>74</v>
      </c>
      <c r="D12" s="101">
        <v>108</v>
      </c>
      <c r="E12" s="101">
        <v>162</v>
      </c>
      <c r="F12" s="101">
        <v>214</v>
      </c>
      <c r="G12" s="101">
        <v>251</v>
      </c>
      <c r="H12" s="101">
        <v>266</v>
      </c>
      <c r="I12" s="101">
        <v>339</v>
      </c>
      <c r="J12" s="101">
        <v>431</v>
      </c>
      <c r="K12" s="101">
        <v>455</v>
      </c>
    </row>
    <row r="13" spans="1:11">
      <c r="B13" s="106" t="s">
        <v>201</v>
      </c>
      <c r="C13" s="101">
        <v>-0.5</v>
      </c>
      <c r="D13" s="101">
        <v>-1.6</v>
      </c>
      <c r="E13" s="101">
        <v>-1.7</v>
      </c>
      <c r="F13" s="101">
        <v>-2.1</v>
      </c>
      <c r="G13" s="101">
        <v>-2.7</v>
      </c>
      <c r="H13" s="101">
        <v>-1.7</v>
      </c>
      <c r="I13" s="101">
        <v>-3</v>
      </c>
      <c r="J13" s="101">
        <v>-5.9</v>
      </c>
      <c r="K13" s="101">
        <v>-9.6999999999999993</v>
      </c>
    </row>
    <row r="14" spans="1:11">
      <c r="B14" s="113" t="s">
        <v>48</v>
      </c>
      <c r="C14" s="112">
        <v>3448</v>
      </c>
      <c r="D14" s="112">
        <v>3706</v>
      </c>
      <c r="E14" s="112">
        <v>4635</v>
      </c>
      <c r="F14" s="112">
        <v>5057</v>
      </c>
      <c r="G14" s="112">
        <v>4996</v>
      </c>
      <c r="H14" s="112">
        <v>5112</v>
      </c>
      <c r="I14" s="112">
        <v>5956</v>
      </c>
      <c r="J14" s="112">
        <v>8212</v>
      </c>
      <c r="K14" s="112">
        <v>8981</v>
      </c>
    </row>
    <row r="15" spans="1:11">
      <c r="B15" s="108"/>
      <c r="C15" s="107"/>
      <c r="D15" s="107"/>
      <c r="E15" s="107"/>
      <c r="F15" s="107"/>
      <c r="G15" s="107"/>
      <c r="H15" s="107"/>
      <c r="I15" s="107"/>
      <c r="J15" s="107"/>
      <c r="K15" s="107"/>
    </row>
    <row r="16" spans="1:11">
      <c r="B16" s="150" t="s">
        <v>354</v>
      </c>
      <c r="C16" s="151">
        <f>C14/C3</f>
        <v>0.55856147740158757</v>
      </c>
      <c r="D16" s="151">
        <f t="shared" ref="D16:K16" si="3">D14/D3</f>
        <v>0.5269444049481018</v>
      </c>
      <c r="E16" s="151">
        <f t="shared" si="3"/>
        <v>0.51701059676519801</v>
      </c>
      <c r="F16" s="151">
        <f t="shared" si="3"/>
        <v>0.51617842196590791</v>
      </c>
      <c r="G16" s="151">
        <f t="shared" si="3"/>
        <v>0.54577233996067298</v>
      </c>
      <c r="H16" s="151">
        <f t="shared" si="3"/>
        <v>0.58623853211009169</v>
      </c>
      <c r="I16" s="151">
        <f t="shared" si="3"/>
        <v>0.57836473101573116</v>
      </c>
      <c r="J16" s="151">
        <f t="shared" si="3"/>
        <v>0.56861930480542866</v>
      </c>
      <c r="K16" s="151">
        <f t="shared" si="3"/>
        <v>0.54311804547653608</v>
      </c>
    </row>
    <row r="17" spans="2:13">
      <c r="B17" s="150" t="s">
        <v>99</v>
      </c>
      <c r="C17" s="151">
        <f>1-C16</f>
        <v>0.44143852259841243</v>
      </c>
      <c r="D17" s="151">
        <f t="shared" ref="D17:K17" si="4">1-D16</f>
        <v>0.4730555950518982</v>
      </c>
      <c r="E17" s="151">
        <f t="shared" si="4"/>
        <v>0.48298940323480199</v>
      </c>
      <c r="F17" s="151">
        <f t="shared" si="4"/>
        <v>0.48382157803409209</v>
      </c>
      <c r="G17" s="151">
        <f t="shared" si="4"/>
        <v>0.45422766003932702</v>
      </c>
      <c r="H17" s="151">
        <f t="shared" si="4"/>
        <v>0.41376146788990831</v>
      </c>
      <c r="I17" s="151">
        <f t="shared" si="4"/>
        <v>0.42163526898426884</v>
      </c>
      <c r="J17" s="151">
        <f t="shared" si="4"/>
        <v>0.43138069519457134</v>
      </c>
      <c r="K17" s="151">
        <f t="shared" si="4"/>
        <v>0.45688195452346392</v>
      </c>
    </row>
    <row r="18" spans="2:13">
      <c r="B18" s="150"/>
      <c r="C18" s="151"/>
      <c r="D18" s="151"/>
      <c r="E18" s="151"/>
      <c r="F18" s="151"/>
      <c r="G18" s="151"/>
      <c r="H18" s="151"/>
      <c r="I18" s="151"/>
      <c r="J18" s="151"/>
      <c r="K18" s="151"/>
    </row>
    <row r="19" spans="2:13">
      <c r="B19" s="150" t="s">
        <v>365</v>
      </c>
      <c r="C19" s="160">
        <f>C10/C14</f>
        <v>0.99274941995359633</v>
      </c>
      <c r="D19" s="160">
        <f t="shared" ref="D19:K19" si="5">D10/D14</f>
        <v>0.97598488936859151</v>
      </c>
      <c r="E19" s="160">
        <f t="shared" si="5"/>
        <v>0.97475728155339803</v>
      </c>
      <c r="F19" s="160">
        <f t="shared" si="5"/>
        <v>0.99980225430096892</v>
      </c>
      <c r="G19" s="160">
        <f t="shared" si="5"/>
        <v>0.93354683746997602</v>
      </c>
      <c r="H19" s="160">
        <f t="shared" si="5"/>
        <v>0.98865414710485133</v>
      </c>
      <c r="I19" s="160">
        <f t="shared" si="5"/>
        <v>0.96843519140362655</v>
      </c>
      <c r="J19" s="160">
        <f t="shared" si="5"/>
        <v>0.95591816853385292</v>
      </c>
      <c r="K19" s="160">
        <f t="shared" si="5"/>
        <v>0.97238614853579775</v>
      </c>
      <c r="L19" s="45">
        <f>AVERAGE(C19:K19)</f>
        <v>0.9735815931360734</v>
      </c>
      <c r="M19" t="s">
        <v>361</v>
      </c>
    </row>
    <row r="20" spans="2:13">
      <c r="B20" s="161" t="s">
        <v>356</v>
      </c>
      <c r="C20" s="162">
        <f>C10/C$3</f>
        <v>0.55451158269884981</v>
      </c>
      <c r="D20" s="162">
        <f t="shared" ref="D20:K20" si="6">D10/D$3</f>
        <v>0.51428977676667142</v>
      </c>
      <c r="E20" s="162">
        <f t="shared" si="6"/>
        <v>0.50395984383714443</v>
      </c>
      <c r="F20" s="162">
        <f t="shared" si="6"/>
        <v>0.51607634990303153</v>
      </c>
      <c r="G20" s="162">
        <f t="shared" si="6"/>
        <v>0.50950404194887478</v>
      </c>
      <c r="H20" s="162">
        <f t="shared" si="6"/>
        <v>0.57958715596330279</v>
      </c>
      <c r="I20" s="162">
        <f t="shared" si="6"/>
        <v>0.5601087589823267</v>
      </c>
      <c r="J20" s="162">
        <f t="shared" si="6"/>
        <v>0.54355352444259797</v>
      </c>
      <c r="K20" s="162">
        <f t="shared" si="6"/>
        <v>0.52812046444121918</v>
      </c>
    </row>
    <row r="21" spans="2:13">
      <c r="B21" s="161" t="s">
        <v>357</v>
      </c>
      <c r="C21" s="162">
        <f>C11/C$3</f>
        <v>-7.9377936173659486E-3</v>
      </c>
      <c r="D21" s="162">
        <f t="shared" ref="D21:K21" si="7">D11/D$3</f>
        <v>-2.4171761694867055E-3</v>
      </c>
      <c r="E21" s="162">
        <f t="shared" si="7"/>
        <v>-4.6848856664807583E-3</v>
      </c>
      <c r="F21" s="162">
        <f t="shared" si="7"/>
        <v>-2.1435133204042053E-2</v>
      </c>
      <c r="G21" s="162">
        <f t="shared" si="7"/>
        <v>9.1763163644308504E-3</v>
      </c>
      <c r="H21" s="162">
        <f t="shared" si="7"/>
        <v>-2.3623853211009176E-2</v>
      </c>
      <c r="I21" s="162">
        <f t="shared" si="7"/>
        <v>-1.4468828898815305E-2</v>
      </c>
      <c r="J21" s="162">
        <f t="shared" si="7"/>
        <v>-4.3622766929788115E-3</v>
      </c>
      <c r="K21" s="162">
        <f t="shared" si="7"/>
        <v>-1.1913401064344461E-2</v>
      </c>
    </row>
    <row r="22" spans="2:13">
      <c r="B22" s="161" t="s">
        <v>358</v>
      </c>
      <c r="C22" s="162">
        <f>C13/C$3</f>
        <v>-8.0997894054754571E-5</v>
      </c>
      <c r="D22" s="162">
        <f t="shared" ref="D22:K22" si="8">D13/D$3</f>
        <v>-2.2749893359874876E-4</v>
      </c>
      <c r="E22" s="162">
        <f t="shared" si="8"/>
        <v>-1.8962632459564973E-4</v>
      </c>
      <c r="F22" s="162">
        <f t="shared" si="8"/>
        <v>-2.1435133204042054E-4</v>
      </c>
      <c r="G22" s="162">
        <f t="shared" si="8"/>
        <v>-2.9495302599956305E-4</v>
      </c>
      <c r="H22" s="162">
        <f t="shared" si="8"/>
        <v>-1.9495412844036696E-4</v>
      </c>
      <c r="I22" s="162">
        <f t="shared" si="8"/>
        <v>-2.913187026607108E-4</v>
      </c>
      <c r="J22" s="162">
        <f t="shared" si="8"/>
        <v>-4.0853067442182524E-4</v>
      </c>
      <c r="K22" s="162">
        <f t="shared" si="8"/>
        <v>-5.865989356555394E-4</v>
      </c>
    </row>
    <row r="23" spans="2:13">
      <c r="B23" s="100"/>
      <c r="C23" s="101"/>
      <c r="D23" s="101"/>
      <c r="E23" s="101"/>
      <c r="F23" s="101"/>
      <c r="G23" s="101"/>
      <c r="H23" s="101"/>
      <c r="I23" s="101"/>
      <c r="J23" s="101"/>
      <c r="K23" s="101"/>
    </row>
    <row r="24" spans="2:13">
      <c r="B24" s="108" t="s">
        <v>2</v>
      </c>
      <c r="C24" s="107">
        <f t="shared" ref="C24:K24" si="9">C3-C14</f>
        <v>2725</v>
      </c>
      <c r="D24" s="107">
        <f t="shared" si="9"/>
        <v>3327</v>
      </c>
      <c r="E24" s="107">
        <f t="shared" si="9"/>
        <v>4330</v>
      </c>
      <c r="F24" s="107">
        <f t="shared" si="9"/>
        <v>4740</v>
      </c>
      <c r="G24" s="107">
        <f t="shared" si="9"/>
        <v>4158</v>
      </c>
      <c r="H24" s="107">
        <f t="shared" si="9"/>
        <v>3608</v>
      </c>
      <c r="I24" s="107">
        <f t="shared" si="9"/>
        <v>4342</v>
      </c>
      <c r="J24" s="107">
        <f t="shared" si="9"/>
        <v>6230</v>
      </c>
      <c r="K24" s="107">
        <f t="shared" si="9"/>
        <v>7555</v>
      </c>
    </row>
    <row r="25" spans="2:13">
      <c r="B25" s="108" t="s">
        <v>200</v>
      </c>
      <c r="C25" s="152">
        <f t="shared" ref="C25:K25" si="10">C24/C3</f>
        <v>0.44143852259841243</v>
      </c>
      <c r="D25" s="152">
        <f t="shared" si="10"/>
        <v>0.4730555950518982</v>
      </c>
      <c r="E25" s="152">
        <f t="shared" si="10"/>
        <v>0.48298940323480199</v>
      </c>
      <c r="F25" s="152">
        <f t="shared" si="10"/>
        <v>0.48382157803409209</v>
      </c>
      <c r="G25" s="152">
        <f t="shared" si="10"/>
        <v>0.45422766003932707</v>
      </c>
      <c r="H25" s="152">
        <f t="shared" si="10"/>
        <v>0.41376146788990825</v>
      </c>
      <c r="I25" s="152">
        <f t="shared" si="10"/>
        <v>0.42163526898426879</v>
      </c>
      <c r="J25" s="152">
        <f t="shared" si="10"/>
        <v>0.4313806951945714</v>
      </c>
      <c r="K25" s="152">
        <f t="shared" si="10"/>
        <v>0.45688195452346397</v>
      </c>
    </row>
    <row r="26" spans="2:13">
      <c r="B26" s="108"/>
      <c r="C26" s="107"/>
      <c r="D26" s="107"/>
      <c r="E26" s="107"/>
      <c r="F26" s="107"/>
      <c r="G26" s="107"/>
      <c r="H26" s="107"/>
      <c r="I26" s="107"/>
      <c r="J26" s="107"/>
      <c r="K26" s="107"/>
    </row>
    <row r="27" spans="2:13">
      <c r="B27" s="108" t="s">
        <v>199</v>
      </c>
      <c r="C27" s="107"/>
      <c r="D27" s="107"/>
      <c r="E27" s="107"/>
      <c r="F27" s="107"/>
      <c r="G27" s="107"/>
      <c r="H27" s="107"/>
      <c r="I27" s="107"/>
      <c r="J27" s="107"/>
      <c r="K27" s="107"/>
    </row>
    <row r="28" spans="2:13">
      <c r="B28" s="106" t="s">
        <v>198</v>
      </c>
      <c r="C28" s="101">
        <v>350</v>
      </c>
      <c r="D28" s="101">
        <v>426</v>
      </c>
      <c r="E28" s="101">
        <v>574</v>
      </c>
      <c r="F28" s="101">
        <v>702</v>
      </c>
      <c r="G28" s="101">
        <v>796</v>
      </c>
      <c r="H28" s="101">
        <v>843</v>
      </c>
      <c r="I28" s="101">
        <v>821</v>
      </c>
      <c r="J28" s="101">
        <v>1002</v>
      </c>
      <c r="K28" s="101">
        <v>1236</v>
      </c>
    </row>
    <row r="29" spans="2:13">
      <c r="B29" s="106" t="s">
        <v>197</v>
      </c>
      <c r="C29" s="101">
        <v>46</v>
      </c>
      <c r="D29" s="101">
        <v>46</v>
      </c>
      <c r="E29" s="101">
        <v>52</v>
      </c>
      <c r="F29" s="101">
        <v>67</v>
      </c>
      <c r="G29" s="101">
        <v>63</v>
      </c>
      <c r="H29" s="101">
        <v>53</v>
      </c>
      <c r="I29" s="101">
        <v>56</v>
      </c>
      <c r="J29" s="101">
        <v>73</v>
      </c>
      <c r="K29" s="101">
        <v>81</v>
      </c>
    </row>
    <row r="30" spans="2:13">
      <c r="B30" s="106" t="s">
        <v>196</v>
      </c>
      <c r="C30" s="101">
        <v>117</v>
      </c>
      <c r="D30" s="101">
        <v>120</v>
      </c>
      <c r="E30" s="101">
        <v>162</v>
      </c>
      <c r="F30" s="101">
        <v>220</v>
      </c>
      <c r="G30" s="101">
        <v>188</v>
      </c>
      <c r="H30" s="101">
        <v>138</v>
      </c>
      <c r="I30" s="101">
        <v>188</v>
      </c>
      <c r="J30" s="101">
        <v>263</v>
      </c>
      <c r="K30" s="101">
        <v>378</v>
      </c>
    </row>
    <row r="31" spans="2:13">
      <c r="B31" s="106" t="s">
        <v>195</v>
      </c>
      <c r="C31" s="101">
        <v>271</v>
      </c>
      <c r="D31" s="101">
        <v>292</v>
      </c>
      <c r="E31" s="101">
        <v>392</v>
      </c>
      <c r="F31" s="101">
        <v>421</v>
      </c>
      <c r="G31" s="101">
        <v>467</v>
      </c>
      <c r="H31" s="101">
        <v>375</v>
      </c>
      <c r="I31" s="101">
        <v>615</v>
      </c>
      <c r="J31" s="101">
        <v>741</v>
      </c>
      <c r="K31" s="101">
        <v>867</v>
      </c>
    </row>
    <row r="32" spans="2:13">
      <c r="B32" s="106" t="s">
        <v>194</v>
      </c>
      <c r="C32" s="101">
        <v>86</v>
      </c>
      <c r="D32" s="101">
        <v>90</v>
      </c>
      <c r="E32" s="101">
        <v>112</v>
      </c>
      <c r="F32" s="101">
        <v>149</v>
      </c>
      <c r="G32" s="101">
        <v>196</v>
      </c>
      <c r="H32" s="101">
        <v>158</v>
      </c>
      <c r="I32" s="101">
        <v>145</v>
      </c>
      <c r="J32" s="101">
        <v>295</v>
      </c>
      <c r="K32" s="101">
        <v>237</v>
      </c>
    </row>
    <row r="33" spans="2:11">
      <c r="B33" s="106" t="s">
        <v>193</v>
      </c>
      <c r="C33" s="101">
        <v>165</v>
      </c>
      <c r="D33" s="101">
        <v>178</v>
      </c>
      <c r="E33" s="101">
        <v>230</v>
      </c>
      <c r="F33" s="101">
        <v>277</v>
      </c>
      <c r="G33" s="101">
        <v>268</v>
      </c>
      <c r="H33" s="101">
        <v>260</v>
      </c>
      <c r="I33" s="101">
        <v>344</v>
      </c>
      <c r="J33" s="101">
        <v>412</v>
      </c>
      <c r="K33" s="101">
        <v>431</v>
      </c>
    </row>
    <row r="34" spans="2:11">
      <c r="B34" s="108" t="s">
        <v>192</v>
      </c>
      <c r="C34" s="107">
        <f t="shared" ref="C34:K34" si="11">SUM(C28:C33)</f>
        <v>1035</v>
      </c>
      <c r="D34" s="107">
        <f t="shared" si="11"/>
        <v>1152</v>
      </c>
      <c r="E34" s="107">
        <f t="shared" si="11"/>
        <v>1522</v>
      </c>
      <c r="F34" s="107">
        <f t="shared" si="11"/>
        <v>1836</v>
      </c>
      <c r="G34" s="107">
        <f t="shared" si="11"/>
        <v>1978</v>
      </c>
      <c r="H34" s="107">
        <f t="shared" si="11"/>
        <v>1827</v>
      </c>
      <c r="I34" s="107">
        <f t="shared" si="11"/>
        <v>2169</v>
      </c>
      <c r="J34" s="107">
        <f t="shared" si="11"/>
        <v>2786</v>
      </c>
      <c r="K34" s="107">
        <f t="shared" si="11"/>
        <v>3230</v>
      </c>
    </row>
    <row r="35" spans="2:11">
      <c r="B35" s="100"/>
      <c r="C35" s="101"/>
      <c r="D35" s="101"/>
      <c r="E35" s="101"/>
      <c r="F35" s="101"/>
      <c r="G35" s="101"/>
      <c r="H35" s="101"/>
      <c r="I35" s="101"/>
      <c r="J35" s="101"/>
      <c r="K35" s="101"/>
    </row>
    <row r="36" spans="2:11">
      <c r="B36" s="108" t="s">
        <v>100</v>
      </c>
      <c r="C36" s="107">
        <f t="shared" ref="C36:K36" si="12">C24-C34</f>
        <v>1690</v>
      </c>
      <c r="D36" s="107">
        <f t="shared" si="12"/>
        <v>2175</v>
      </c>
      <c r="E36" s="107">
        <f t="shared" si="12"/>
        <v>2808</v>
      </c>
      <c r="F36" s="107">
        <f t="shared" si="12"/>
        <v>2904</v>
      </c>
      <c r="G36" s="107">
        <f t="shared" si="12"/>
        <v>2180</v>
      </c>
      <c r="H36" s="107">
        <f t="shared" si="12"/>
        <v>1781</v>
      </c>
      <c r="I36" s="107">
        <f t="shared" si="12"/>
        <v>2173</v>
      </c>
      <c r="J36" s="107">
        <f t="shared" si="12"/>
        <v>3444</v>
      </c>
      <c r="K36" s="107">
        <f t="shared" si="12"/>
        <v>4325</v>
      </c>
    </row>
    <row r="37" spans="2:11">
      <c r="B37" s="109" t="s">
        <v>191</v>
      </c>
      <c r="C37" s="111">
        <f t="shared" ref="C37:K37" si="13">C36/C3</f>
        <v>0.27377288190507049</v>
      </c>
      <c r="D37" s="111">
        <f t="shared" si="13"/>
        <v>0.30925636286079911</v>
      </c>
      <c r="E37" s="111">
        <f t="shared" si="13"/>
        <v>0.31321807027328502</v>
      </c>
      <c r="F37" s="111">
        <f t="shared" si="13"/>
        <v>0.29641727059303868</v>
      </c>
      <c r="G37" s="111">
        <f t="shared" si="13"/>
        <v>0.23814725802927683</v>
      </c>
      <c r="H37" s="111">
        <f t="shared" si="13"/>
        <v>0.20424311926605504</v>
      </c>
      <c r="I37" s="111">
        <f t="shared" si="13"/>
        <v>0.21101184696057487</v>
      </c>
      <c r="J37" s="111">
        <f t="shared" si="13"/>
        <v>0.23847112588284172</v>
      </c>
      <c r="K37" s="111">
        <f t="shared" si="13"/>
        <v>0.26155055636187713</v>
      </c>
    </row>
    <row r="38" spans="2:11">
      <c r="B38" s="108"/>
      <c r="C38" s="110"/>
      <c r="D38" s="110"/>
      <c r="E38" s="110"/>
      <c r="F38" s="110"/>
      <c r="G38" s="110"/>
      <c r="H38" s="110"/>
      <c r="I38" s="110"/>
      <c r="J38" s="110"/>
      <c r="K38" s="110"/>
    </row>
    <row r="39" spans="2:11">
      <c r="B39" s="106" t="s">
        <v>121</v>
      </c>
      <c r="C39" s="101">
        <v>137</v>
      </c>
      <c r="D39" s="101">
        <v>154</v>
      </c>
      <c r="E39" s="101">
        <v>223</v>
      </c>
      <c r="F39" s="101">
        <v>300</v>
      </c>
      <c r="G39" s="101">
        <v>382</v>
      </c>
      <c r="H39" s="101">
        <v>451</v>
      </c>
      <c r="I39" s="101">
        <v>452</v>
      </c>
      <c r="J39" s="101">
        <v>526</v>
      </c>
      <c r="K39" s="101">
        <v>598</v>
      </c>
    </row>
    <row r="40" spans="2:11">
      <c r="B40" s="108" t="s">
        <v>102</v>
      </c>
      <c r="C40" s="107">
        <f t="shared" ref="C40:K40" si="14">C36-C39</f>
        <v>1553</v>
      </c>
      <c r="D40" s="107">
        <f t="shared" si="14"/>
        <v>2021</v>
      </c>
      <c r="E40" s="107">
        <f t="shared" si="14"/>
        <v>2585</v>
      </c>
      <c r="F40" s="107">
        <f t="shared" si="14"/>
        <v>2604</v>
      </c>
      <c r="G40" s="107">
        <f t="shared" si="14"/>
        <v>1798</v>
      </c>
      <c r="H40" s="107">
        <f t="shared" si="14"/>
        <v>1330</v>
      </c>
      <c r="I40" s="107">
        <f t="shared" si="14"/>
        <v>1721</v>
      </c>
      <c r="J40" s="107">
        <f t="shared" si="14"/>
        <v>2918</v>
      </c>
      <c r="K40" s="107">
        <f t="shared" si="14"/>
        <v>3727</v>
      </c>
    </row>
    <row r="41" spans="2:11">
      <c r="B41" s="109" t="s">
        <v>190</v>
      </c>
      <c r="C41" s="104">
        <f t="shared" ref="C41:K41" si="15">C40/C3</f>
        <v>0.25157945893406769</v>
      </c>
      <c r="D41" s="104">
        <f t="shared" si="15"/>
        <v>0.2873595905019195</v>
      </c>
      <c r="E41" s="104">
        <f t="shared" si="15"/>
        <v>0.28834355828220859</v>
      </c>
      <c r="F41" s="104">
        <f t="shared" si="15"/>
        <v>0.26579565173012148</v>
      </c>
      <c r="G41" s="104">
        <f t="shared" si="15"/>
        <v>0.1964168669434127</v>
      </c>
      <c r="H41" s="104">
        <f t="shared" si="15"/>
        <v>0.15252293577981652</v>
      </c>
      <c r="I41" s="104">
        <f t="shared" si="15"/>
        <v>0.16711982909302778</v>
      </c>
      <c r="J41" s="104">
        <f t="shared" si="15"/>
        <v>0.20204957762082815</v>
      </c>
      <c r="K41" s="104">
        <f t="shared" si="15"/>
        <v>0.22538703434929849</v>
      </c>
    </row>
    <row r="42" spans="2:11">
      <c r="B42" s="109"/>
      <c r="C42" s="104"/>
      <c r="D42" s="104"/>
      <c r="E42" s="104"/>
      <c r="F42" s="104"/>
      <c r="G42" s="104"/>
      <c r="H42" s="104"/>
      <c r="I42" s="104"/>
      <c r="J42" s="104"/>
      <c r="K42" s="104"/>
    </row>
    <row r="43" spans="2:11">
      <c r="B43" s="106" t="s">
        <v>189</v>
      </c>
      <c r="C43" s="101">
        <v>2.1</v>
      </c>
      <c r="D43" s="101">
        <v>3.6</v>
      </c>
      <c r="E43" s="101">
        <v>5.3</v>
      </c>
      <c r="F43" s="101">
        <v>7.3</v>
      </c>
      <c r="G43" s="101">
        <v>19</v>
      </c>
      <c r="H43" s="101">
        <v>16</v>
      </c>
      <c r="I43" s="101">
        <v>19</v>
      </c>
      <c r="J43" s="101">
        <v>28</v>
      </c>
      <c r="K43" s="101">
        <v>51</v>
      </c>
    </row>
    <row r="44" spans="2:11">
      <c r="B44" s="106" t="s">
        <v>188</v>
      </c>
      <c r="C44" s="101">
        <v>326</v>
      </c>
      <c r="D44" s="101">
        <v>416</v>
      </c>
      <c r="E44" s="101">
        <v>536</v>
      </c>
      <c r="F44" s="101">
        <v>700</v>
      </c>
      <c r="G44" s="101">
        <v>576</v>
      </c>
      <c r="H44" s="101">
        <v>484</v>
      </c>
      <c r="I44" s="101">
        <v>501</v>
      </c>
      <c r="J44" s="101">
        <v>910</v>
      </c>
      <c r="K44" s="101">
        <v>1526</v>
      </c>
    </row>
    <row r="45" spans="2:11">
      <c r="B45" s="108" t="s">
        <v>187</v>
      </c>
      <c r="C45" s="107">
        <v>1877</v>
      </c>
      <c r="D45" s="107">
        <v>2433</v>
      </c>
      <c r="E45" s="107">
        <v>3116</v>
      </c>
      <c r="F45" s="107">
        <v>3297</v>
      </c>
      <c r="G45" s="107">
        <v>2355</v>
      </c>
      <c r="H45" s="107">
        <v>1798</v>
      </c>
      <c r="I45" s="107">
        <v>2203</v>
      </c>
      <c r="J45" s="107">
        <v>3800</v>
      </c>
      <c r="K45" s="107">
        <v>5202</v>
      </c>
    </row>
    <row r="46" spans="2:11">
      <c r="B46" s="108"/>
      <c r="C46" s="107"/>
      <c r="D46" s="107"/>
      <c r="E46" s="107"/>
      <c r="F46" s="107"/>
      <c r="G46" s="107"/>
      <c r="H46" s="107"/>
      <c r="I46" s="107"/>
      <c r="J46" s="107"/>
      <c r="K46" s="107"/>
    </row>
    <row r="47" spans="2:11">
      <c r="B47" s="106" t="s">
        <v>122</v>
      </c>
      <c r="C47" s="101">
        <v>539</v>
      </c>
      <c r="D47" s="101">
        <v>720</v>
      </c>
      <c r="E47" s="101">
        <v>936</v>
      </c>
      <c r="F47" s="101">
        <v>1077</v>
      </c>
      <c r="G47" s="101">
        <v>527</v>
      </c>
      <c r="H47" s="101">
        <v>452</v>
      </c>
      <c r="I47" s="101">
        <v>526</v>
      </c>
      <c r="J47" s="101">
        <v>886</v>
      </c>
      <c r="K47" s="101">
        <v>1201</v>
      </c>
    </row>
    <row r="48" spans="2:11">
      <c r="B48" s="105" t="s">
        <v>186</v>
      </c>
      <c r="C48" s="104">
        <f t="shared" ref="C48:K48" si="16">C47/C45</f>
        <v>0.28716036228023439</v>
      </c>
      <c r="D48" s="104">
        <f t="shared" si="16"/>
        <v>0.29593094944512949</v>
      </c>
      <c r="E48" s="104">
        <f t="shared" si="16"/>
        <v>0.30038510911424904</v>
      </c>
      <c r="F48" s="104">
        <f t="shared" si="16"/>
        <v>0.32666060054595086</v>
      </c>
      <c r="G48" s="104">
        <f t="shared" si="16"/>
        <v>0.2237791932059448</v>
      </c>
      <c r="H48" s="104">
        <f t="shared" si="16"/>
        <v>0.25139043381535037</v>
      </c>
      <c r="I48" s="104">
        <f t="shared" si="16"/>
        <v>0.23876532001815706</v>
      </c>
      <c r="J48" s="104">
        <f t="shared" si="16"/>
        <v>0.23315789473684209</v>
      </c>
      <c r="K48" s="104">
        <f t="shared" si="16"/>
        <v>0.2308727412533641</v>
      </c>
    </row>
    <row r="49" spans="2:11" ht="15" thickBot="1">
      <c r="B49" s="103" t="s">
        <v>5</v>
      </c>
      <c r="C49" s="102">
        <f t="shared" ref="C49:K49" si="17">C45-C47</f>
        <v>1338</v>
      </c>
      <c r="D49" s="102">
        <f t="shared" si="17"/>
        <v>1713</v>
      </c>
      <c r="E49" s="102">
        <f t="shared" si="17"/>
        <v>2180</v>
      </c>
      <c r="F49" s="102">
        <f t="shared" si="17"/>
        <v>2220</v>
      </c>
      <c r="G49" s="102">
        <f t="shared" si="17"/>
        <v>1828</v>
      </c>
      <c r="H49" s="102">
        <f t="shared" si="17"/>
        <v>1346</v>
      </c>
      <c r="I49" s="102">
        <f t="shared" si="17"/>
        <v>1677</v>
      </c>
      <c r="J49" s="102">
        <f t="shared" si="17"/>
        <v>2914</v>
      </c>
      <c r="K49" s="102">
        <f t="shared" si="17"/>
        <v>4001</v>
      </c>
    </row>
    <row r="50" spans="2:11">
      <c r="B50" s="100"/>
      <c r="C50" s="101"/>
      <c r="D50" s="101"/>
      <c r="E50" s="101"/>
      <c r="F50" s="101"/>
      <c r="G50" s="101"/>
      <c r="H50" s="101"/>
      <c r="I50" s="101"/>
      <c r="J50" s="101"/>
      <c r="K50" s="101"/>
    </row>
    <row r="51" spans="2:11">
      <c r="B51" s="100"/>
      <c r="C51" s="101"/>
      <c r="D51" s="101"/>
      <c r="E51" s="101"/>
      <c r="F51" s="101"/>
      <c r="G51" s="101"/>
      <c r="H51" s="101"/>
      <c r="I51" s="101"/>
      <c r="J51" s="101"/>
      <c r="K51" s="101"/>
    </row>
    <row r="52" spans="2:11">
      <c r="B52" s="100" t="s">
        <v>185</v>
      </c>
      <c r="C52" s="101">
        <v>1338</v>
      </c>
      <c r="D52" s="101">
        <v>1713</v>
      </c>
      <c r="E52" s="101">
        <v>2180</v>
      </c>
      <c r="F52" s="101">
        <v>2220</v>
      </c>
      <c r="G52" s="101">
        <v>1827</v>
      </c>
      <c r="H52" s="101">
        <v>1347</v>
      </c>
      <c r="I52" s="101">
        <v>1677</v>
      </c>
      <c r="J52" s="101">
        <v>2914</v>
      </c>
      <c r="K52" s="101">
        <v>4001</v>
      </c>
    </row>
    <row r="53" spans="2:11">
      <c r="B53" s="100" t="s">
        <v>184</v>
      </c>
      <c r="C53" s="101">
        <v>0</v>
      </c>
      <c r="D53" s="101">
        <v>0</v>
      </c>
      <c r="E53" s="101">
        <v>0</v>
      </c>
      <c r="F53" s="101">
        <v>0</v>
      </c>
      <c r="G53" s="101">
        <v>0</v>
      </c>
      <c r="H53" s="101">
        <v>0</v>
      </c>
      <c r="I53" s="101">
        <v>0</v>
      </c>
      <c r="J53" s="101">
        <v>0</v>
      </c>
      <c r="K53" s="101">
        <v>0</v>
      </c>
    </row>
    <row r="54" spans="2:11">
      <c r="B54" s="100" t="s">
        <v>183</v>
      </c>
      <c r="C54" s="101">
        <v>0</v>
      </c>
      <c r="D54" s="101">
        <v>0</v>
      </c>
      <c r="E54" s="101">
        <v>0</v>
      </c>
      <c r="F54" s="101">
        <v>0</v>
      </c>
      <c r="G54" s="101">
        <v>0</v>
      </c>
      <c r="H54" s="101">
        <v>0</v>
      </c>
      <c r="I54" s="101">
        <v>0</v>
      </c>
      <c r="J54" s="101">
        <v>0</v>
      </c>
      <c r="K54" s="101">
        <v>0</v>
      </c>
    </row>
    <row r="55" spans="2:11">
      <c r="B55" s="100" t="s">
        <v>182</v>
      </c>
      <c r="C55" s="101">
        <v>0</v>
      </c>
      <c r="D55" s="101">
        <v>-46</v>
      </c>
      <c r="E55" s="101">
        <v>-220</v>
      </c>
      <c r="F55" s="101">
        <v>-18</v>
      </c>
      <c r="G55" s="101">
        <v>0</v>
      </c>
      <c r="H55" s="101">
        <v>0</v>
      </c>
      <c r="I55" s="101">
        <v>0</v>
      </c>
      <c r="J55" s="101">
        <v>0</v>
      </c>
      <c r="K55" s="101">
        <v>0</v>
      </c>
    </row>
    <row r="56" spans="2:11">
      <c r="B56" s="100" t="s">
        <v>181</v>
      </c>
      <c r="C56" s="101">
        <v>0</v>
      </c>
      <c r="D56" s="101">
        <v>0</v>
      </c>
      <c r="E56" s="101">
        <v>0</v>
      </c>
      <c r="F56" s="101">
        <v>0</v>
      </c>
      <c r="G56" s="101">
        <v>0</v>
      </c>
      <c r="H56" s="101">
        <v>0</v>
      </c>
      <c r="I56" s="101">
        <v>0</v>
      </c>
      <c r="J56" s="101">
        <v>0</v>
      </c>
      <c r="K56" s="101">
        <v>0</v>
      </c>
    </row>
    <row r="57" spans="2:11">
      <c r="B57" s="100" t="s">
        <v>180</v>
      </c>
      <c r="C57" s="101">
        <v>1338</v>
      </c>
      <c r="D57" s="101">
        <v>1667</v>
      </c>
      <c r="E57" s="101">
        <v>1960</v>
      </c>
      <c r="F57" s="101">
        <v>2203</v>
      </c>
      <c r="G57" s="101">
        <v>1827</v>
      </c>
      <c r="H57" s="101">
        <v>1347</v>
      </c>
      <c r="I57" s="101">
        <v>1677</v>
      </c>
      <c r="J57" s="101">
        <v>2914</v>
      </c>
      <c r="K57" s="101">
        <v>4001</v>
      </c>
    </row>
    <row r="58" spans="2:11">
      <c r="B58" s="100" t="s">
        <v>179</v>
      </c>
      <c r="C58" s="101">
        <v>22</v>
      </c>
      <c r="D58" s="101">
        <v>24</v>
      </c>
      <c r="E58" s="101">
        <v>24</v>
      </c>
      <c r="F58" s="101">
        <v>23</v>
      </c>
      <c r="G58" s="101">
        <v>20</v>
      </c>
      <c r="H58" s="101">
        <v>15</v>
      </c>
      <c r="I58" s="101">
        <v>16</v>
      </c>
      <c r="J58" s="101">
        <v>20</v>
      </c>
      <c r="K58" s="101">
        <v>24</v>
      </c>
    </row>
    <row r="59" spans="2:11">
      <c r="B59" s="100" t="s">
        <v>178</v>
      </c>
      <c r="C59" s="101">
        <v>49</v>
      </c>
      <c r="D59" s="101">
        <v>61</v>
      </c>
      <c r="E59" s="101">
        <v>72</v>
      </c>
      <c r="F59" s="101">
        <v>81</v>
      </c>
      <c r="G59" s="101">
        <v>67</v>
      </c>
      <c r="H59" s="101">
        <v>49</v>
      </c>
      <c r="I59" s="101">
        <v>61</v>
      </c>
      <c r="J59" s="101">
        <v>107</v>
      </c>
      <c r="K59" s="101">
        <v>146</v>
      </c>
    </row>
    <row r="60" spans="2:11">
      <c r="B60" s="100" t="s">
        <v>177</v>
      </c>
      <c r="C60" s="101">
        <v>493</v>
      </c>
      <c r="D60" s="101">
        <v>613</v>
      </c>
      <c r="E60" s="101">
        <v>719</v>
      </c>
      <c r="F60" s="101">
        <v>807</v>
      </c>
      <c r="G60" s="101">
        <v>669</v>
      </c>
      <c r="H60" s="101">
        <v>49</v>
      </c>
      <c r="I60" s="101">
        <v>61</v>
      </c>
      <c r="J60" s="101">
        <v>107</v>
      </c>
      <c r="K60" s="101">
        <v>146</v>
      </c>
    </row>
    <row r="73" spans="2:12">
      <c r="B73" s="178"/>
      <c r="C73" s="178"/>
      <c r="D73" s="178"/>
      <c r="E73" s="178"/>
      <c r="F73" s="178"/>
      <c r="G73" s="178"/>
      <c r="H73" s="178"/>
      <c r="I73" s="178"/>
      <c r="J73" s="178"/>
      <c r="K73" s="178"/>
      <c r="L73" s="178"/>
    </row>
    <row r="74" spans="2:12">
      <c r="L74" s="179"/>
    </row>
    <row r="75" spans="2:12">
      <c r="L75" s="179"/>
    </row>
    <row r="76" spans="2:12">
      <c r="L76" s="179"/>
    </row>
    <row r="77" spans="2:12">
      <c r="L77" s="179"/>
    </row>
    <row r="78" spans="2:12">
      <c r="L78" s="179"/>
    </row>
    <row r="79" spans="2:12">
      <c r="L79" s="179"/>
    </row>
  </sheetData>
  <sheetProtection algorithmName="SHA-512" hashValue="R2wg+JNVqyaIV/siOJ4JQNYSHPHUXIqsJDRqTuhR4XZxlv1wiregZ0ICGOjJLUtU2oB1b37DRfSOBNbpzQ1+rw==" saltValue="maeHsP/13UkixJnFUulCLw==" spinCount="100000" sheet="1" objects="1" scenarios="1"/>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0EB4A-3D48-4893-B72F-E9DB353835CA}">
  <dimension ref="B2:L26"/>
  <sheetViews>
    <sheetView showGridLines="0" zoomScaleNormal="100" workbookViewId="0"/>
  </sheetViews>
  <sheetFormatPr defaultRowHeight="14.4"/>
  <cols>
    <col min="1" max="1" width="1.88671875" customWidth="1"/>
    <col min="2" max="2" width="39" bestFit="1" customWidth="1"/>
    <col min="3" max="10" width="16.109375" customWidth="1"/>
  </cols>
  <sheetData>
    <row r="2" spans="2:12">
      <c r="B2" s="115" t="s">
        <v>209</v>
      </c>
      <c r="C2" s="143">
        <v>2016</v>
      </c>
      <c r="D2" s="143">
        <f>C2+1</f>
        <v>2017</v>
      </c>
      <c r="E2" s="143">
        <f t="shared" ref="E2:K2" si="0">D2+1</f>
        <v>2018</v>
      </c>
      <c r="F2" s="143">
        <f t="shared" si="0"/>
        <v>2019</v>
      </c>
      <c r="G2" s="143">
        <f>F2+1</f>
        <v>2020</v>
      </c>
      <c r="H2" s="143">
        <f t="shared" si="0"/>
        <v>2021</v>
      </c>
      <c r="I2" s="143">
        <f t="shared" si="0"/>
        <v>2022</v>
      </c>
      <c r="J2" s="143">
        <f t="shared" si="0"/>
        <v>2023</v>
      </c>
      <c r="K2" s="143">
        <f t="shared" si="0"/>
        <v>2024</v>
      </c>
    </row>
    <row r="4" spans="2:12">
      <c r="B4" s="22" t="s">
        <v>635</v>
      </c>
    </row>
    <row r="5" spans="2:12">
      <c r="B5" t="s">
        <v>5</v>
      </c>
      <c r="C5">
        <f>'P&amp;L'!C49</f>
        <v>1338</v>
      </c>
      <c r="D5">
        <f>'P&amp;L'!D49</f>
        <v>1713</v>
      </c>
      <c r="E5">
        <f>'P&amp;L'!E49</f>
        <v>2180</v>
      </c>
      <c r="F5">
        <f>'P&amp;L'!F49</f>
        <v>2220</v>
      </c>
      <c r="G5">
        <f>'P&amp;L'!G49</f>
        <v>1828</v>
      </c>
      <c r="H5">
        <f>'P&amp;L'!H49</f>
        <v>1346</v>
      </c>
      <c r="I5">
        <f>'P&amp;L'!I49</f>
        <v>1677</v>
      </c>
      <c r="J5">
        <f>'P&amp;L'!J49</f>
        <v>2914</v>
      </c>
      <c r="K5">
        <f>'P&amp;L'!K49</f>
        <v>4001</v>
      </c>
    </row>
    <row r="6" spans="2:12">
      <c r="B6" t="s">
        <v>640</v>
      </c>
      <c r="C6">
        <f>'P&amp;L'!C39</f>
        <v>137</v>
      </c>
      <c r="D6">
        <f>'P&amp;L'!D39</f>
        <v>154</v>
      </c>
      <c r="E6">
        <f>'P&amp;L'!E39</f>
        <v>223</v>
      </c>
      <c r="F6">
        <f>'P&amp;L'!F39</f>
        <v>300</v>
      </c>
      <c r="G6">
        <f>'P&amp;L'!G39</f>
        <v>382</v>
      </c>
      <c r="H6">
        <f>'P&amp;L'!H39</f>
        <v>451</v>
      </c>
      <c r="I6">
        <f>'P&amp;L'!I39</f>
        <v>452</v>
      </c>
      <c r="J6">
        <f>'P&amp;L'!J39</f>
        <v>526</v>
      </c>
      <c r="K6">
        <f>'P&amp;L'!K39</f>
        <v>598</v>
      </c>
    </row>
    <row r="7" spans="2:12">
      <c r="B7" t="s">
        <v>641</v>
      </c>
      <c r="D7" s="208">
        <f>SUM(BS!D45:D46)-SUM(BS!C48:C49)</f>
        <v>46.529411764705969</v>
      </c>
      <c r="E7" s="208">
        <f>SUM(BS!E45:E46)-SUM(BS!D48:D49)</f>
        <v>184.34117647058815</v>
      </c>
      <c r="F7" s="208">
        <f>SUM(BS!F45:F46)-SUM(BS!E48:E49)</f>
        <v>122.87058823529401</v>
      </c>
      <c r="G7" s="208">
        <f>SUM(BS!G45:G46)-SUM(BS!F48:F49)</f>
        <v>-411.47058823529392</v>
      </c>
      <c r="H7" s="208">
        <f>SUM(BS!H45:H46)-SUM(BS!G48:G49)</f>
        <v>-34.000000000000114</v>
      </c>
      <c r="I7" s="208">
        <f>SUM(BS!I45:I46)-SUM(BS!H48:H49)</f>
        <v>-954.0235294117648</v>
      </c>
      <c r="J7" s="208">
        <f>SUM(BS!J45:J46)-SUM(BS!I48:I49)</f>
        <v>-552.04705882352948</v>
      </c>
      <c r="K7" s="208">
        <f>SUM(BS!K45:K46)-SUM(BS!J48:J49)</f>
        <v>-329.95294117647063</v>
      </c>
    </row>
    <row r="8" spans="2:12">
      <c r="B8" t="s">
        <v>642</v>
      </c>
      <c r="G8" s="208">
        <f>Schedules!D138</f>
        <v>-1107.3169934640523</v>
      </c>
      <c r="H8" s="208">
        <f>Schedules!E138</f>
        <v>-166.36405228758167</v>
      </c>
      <c r="I8" s="208">
        <f>Schedules!F138</f>
        <v>189.72679738562078</v>
      </c>
      <c r="J8" s="208">
        <f>Schedules!G138</f>
        <v>302.27973856209155</v>
      </c>
      <c r="K8" s="208">
        <f>Schedules!H138</f>
        <v>-32.216339869281001</v>
      </c>
    </row>
    <row r="9" spans="2:12">
      <c r="B9" s="24" t="s">
        <v>635</v>
      </c>
      <c r="C9" s="258"/>
      <c r="D9" s="258"/>
      <c r="E9" s="258"/>
      <c r="F9" s="258"/>
      <c r="G9" s="258">
        <f>SUM(G5:G8)</f>
        <v>691.21241830065378</v>
      </c>
      <c r="H9" s="258">
        <f>SUM(H5:H8)</f>
        <v>1596.6359477124183</v>
      </c>
      <c r="I9" s="258">
        <f>SUM(I5:I8)</f>
        <v>1364.7032679738561</v>
      </c>
      <c r="J9" s="258">
        <f>SUM(J5:J8)</f>
        <v>3190.2326797385622</v>
      </c>
      <c r="K9" s="258">
        <f>SUM(K5:K8)</f>
        <v>4236.8307189542484</v>
      </c>
    </row>
    <row r="10" spans="2:12">
      <c r="C10" s="91"/>
      <c r="D10" s="91"/>
      <c r="E10" s="91"/>
      <c r="F10" s="91"/>
      <c r="G10" s="91"/>
      <c r="H10" s="91"/>
      <c r="I10" s="91"/>
      <c r="J10" s="91"/>
      <c r="K10" s="91"/>
      <c r="L10" s="91"/>
    </row>
    <row r="11" spans="2:12">
      <c r="B11" s="22" t="s">
        <v>643</v>
      </c>
    </row>
    <row r="12" spans="2:12">
      <c r="B12" t="s">
        <v>644</v>
      </c>
      <c r="D12" s="208">
        <f>(BS!D7-BS!C7)*-1</f>
        <v>-224</v>
      </c>
      <c r="E12" s="208">
        <f>(BS!E7-BS!D7)*-1</f>
        <v>-849</v>
      </c>
      <c r="F12" s="208">
        <f>(BS!F7-BS!E7)*-1</f>
        <v>-623</v>
      </c>
      <c r="G12" s="208">
        <f>(BS!G7-BS!F7)*-1</f>
        <v>-818</v>
      </c>
      <c r="H12" s="208">
        <f>(BS!H7-BS!G7)*-1</f>
        <v>-474</v>
      </c>
      <c r="I12" s="208">
        <f>(BS!I7-BS!H7)*-1</f>
        <v>-356</v>
      </c>
      <c r="J12" s="208">
        <f>(BS!J7-BS!I7)*-1</f>
        <v>-737</v>
      </c>
      <c r="K12" s="208">
        <f>(BS!K7-BS!J7)*-1</f>
        <v>-608</v>
      </c>
    </row>
    <row r="13" spans="2:12">
      <c r="B13" t="s">
        <v>645</v>
      </c>
      <c r="D13" s="208">
        <f ca="1">(BS!D11-BS!C11)*-1</f>
        <v>-1303</v>
      </c>
      <c r="E13" s="208">
        <f ca="1">(BS!E11-BS!D11)*-1</f>
        <v>-843</v>
      </c>
      <c r="F13" s="208">
        <f ca="1">(BS!F11-BS!E11)*-1</f>
        <v>493</v>
      </c>
      <c r="G13" s="208">
        <f ca="1">(BS!G11-BS!F11)*-1</f>
        <v>1218</v>
      </c>
      <c r="H13" s="208">
        <f ca="1">(BS!H11-BS!G11)*-1</f>
        <v>410</v>
      </c>
      <c r="I13" s="208">
        <f ca="1">(BS!I11-BS!H11)*-1</f>
        <v>-4470</v>
      </c>
      <c r="J13" s="208">
        <f ca="1">(BS!J11-BS!I11)*-1</f>
        <v>-4805</v>
      </c>
      <c r="K13" s="208">
        <f ca="1">(BS!K11-BS!J11)*-1</f>
        <v>-1245</v>
      </c>
    </row>
    <row r="14" spans="2:12">
      <c r="B14" t="s">
        <v>646</v>
      </c>
      <c r="D14" s="208">
        <f>BS!D34-BS!C34</f>
        <v>1.0999999999999999</v>
      </c>
      <c r="E14" s="208">
        <f>BS!E34-BS!D34</f>
        <v>27.7</v>
      </c>
      <c r="F14" s="208">
        <f>BS!F34-BS!E34</f>
        <v>40</v>
      </c>
      <c r="G14" s="208">
        <f>BS!G33</f>
        <v>127</v>
      </c>
      <c r="H14" s="208">
        <f>BS!H33</f>
        <v>249</v>
      </c>
      <c r="I14" s="208">
        <f>BS!I33</f>
        <v>125</v>
      </c>
      <c r="J14" s="208">
        <f>BS!J33</f>
        <v>86</v>
      </c>
      <c r="K14" s="208">
        <f>BS!K33</f>
        <v>133</v>
      </c>
    </row>
    <row r="15" spans="2:12">
      <c r="B15" t="s">
        <v>652</v>
      </c>
      <c r="D15" s="208">
        <v>1377.984705882353</v>
      </c>
      <c r="E15" s="208">
        <v>2220.2352941176468</v>
      </c>
      <c r="F15" s="208">
        <v>1391.5235294117647</v>
      </c>
      <c r="G15" s="208">
        <v>-1803.3559477124186</v>
      </c>
      <c r="H15" s="208">
        <v>313.01816993464035</v>
      </c>
      <c r="I15" s="208">
        <v>162.88143790849699</v>
      </c>
      <c r="J15" s="208">
        <v>-684.66209150326813</v>
      </c>
      <c r="K15" s="208">
        <v>-4429.7689542483658</v>
      </c>
    </row>
    <row r="16" spans="2:12">
      <c r="B16" t="s">
        <v>647</v>
      </c>
      <c r="D16" s="208">
        <f>(BS!D9-BS!C9)*-1</f>
        <v>-231</v>
      </c>
      <c r="E16" s="208">
        <f>(BS!E9-BS!D9)*-1</f>
        <v>122</v>
      </c>
      <c r="F16" s="208">
        <f>(BS!F9-BS!E9)*-1</f>
        <v>-130</v>
      </c>
      <c r="G16" s="208">
        <f>(BS!G9-BS!F9)*-1</f>
        <v>245</v>
      </c>
      <c r="H16" s="208">
        <f>(BS!H9-BS!G9)*-1</f>
        <v>-37</v>
      </c>
      <c r="I16" s="208">
        <f>(BS!I9-BS!H9)*-1</f>
        <v>-70</v>
      </c>
      <c r="J16" s="208">
        <f>(BS!J9-BS!I9)*-1</f>
        <v>56</v>
      </c>
      <c r="K16" s="208">
        <f>(BS!K9-BS!J9)*-1</f>
        <v>-134</v>
      </c>
    </row>
    <row r="17" spans="2:11">
      <c r="B17" s="24" t="s">
        <v>643</v>
      </c>
      <c r="C17" s="24"/>
      <c r="D17" s="258">
        <f ca="1">SUM(D12:D16)</f>
        <v>-378.91529411764714</v>
      </c>
      <c r="E17" s="258">
        <f t="shared" ref="E17:K17" ca="1" si="1">SUM(E12:E16)</f>
        <v>677.93529411764689</v>
      </c>
      <c r="F17" s="258">
        <f t="shared" ca="1" si="1"/>
        <v>1171.5235294117647</v>
      </c>
      <c r="G17" s="258">
        <f t="shared" ca="1" si="1"/>
        <v>-1031.3559477124186</v>
      </c>
      <c r="H17" s="258">
        <f t="shared" ca="1" si="1"/>
        <v>461.01816993464035</v>
      </c>
      <c r="I17" s="258">
        <f t="shared" ca="1" si="1"/>
        <v>-4608.118562091503</v>
      </c>
      <c r="J17" s="258">
        <f t="shared" ca="1" si="1"/>
        <v>-6084.6620915032681</v>
      </c>
      <c r="K17" s="258">
        <f t="shared" ca="1" si="1"/>
        <v>-6283.7689542483658</v>
      </c>
    </row>
    <row r="19" spans="2:11">
      <c r="B19" s="22" t="s">
        <v>648</v>
      </c>
    </row>
    <row r="20" spans="2:11">
      <c r="B20" t="s">
        <v>649</v>
      </c>
      <c r="D20" s="208">
        <f>SUM(BS!D45:D46)-SUM(BS!C45:C46)</f>
        <v>77.235294117647072</v>
      </c>
      <c r="E20" s="208">
        <f>SUM(BS!E45:E46)-SUM(BS!D45:D46)</f>
        <v>176.7647058823529</v>
      </c>
      <c r="F20" s="208">
        <f>SUM(BS!F45:F46)-SUM(BS!E45:E46)</f>
        <v>241.17647058823525</v>
      </c>
      <c r="G20" s="208">
        <f>SUM(BS!G45:G46)-SUM(BS!F45:F46)</f>
        <v>-40.176470588235134</v>
      </c>
      <c r="H20" s="208">
        <f>SUM(BS!H45:H46)-SUM(BS!G45:G46)</f>
        <v>347.7058823529411</v>
      </c>
      <c r="I20" s="208">
        <f>SUM(BS!I45:I46)-SUM(BS!H45:H46)</f>
        <v>-453.76470588235293</v>
      </c>
      <c r="J20" s="208">
        <f>SUM(BS!J45:J46)-SUM(BS!I45:I46)</f>
        <v>-109.47058823529414</v>
      </c>
      <c r="K20" s="208">
        <f>SUM(BS!K45:K46)-SUM(BS!J45:J46)</f>
        <v>-24.41176470588232</v>
      </c>
    </row>
    <row r="21" spans="2:11">
      <c r="B21" t="s">
        <v>650</v>
      </c>
      <c r="C21" s="208">
        <v>267.60000000000002</v>
      </c>
      <c r="D21" s="208">
        <v>274.08</v>
      </c>
      <c r="E21" s="208">
        <v>327</v>
      </c>
      <c r="F21" s="208">
        <v>333</v>
      </c>
      <c r="G21" s="208">
        <v>347.32</v>
      </c>
      <c r="H21" s="208">
        <v>457.64000000000004</v>
      </c>
      <c r="I21" s="208">
        <v>570.18000000000006</v>
      </c>
      <c r="J21" s="208">
        <v>1019.9</v>
      </c>
      <c r="K21" s="208">
        <v>1400.35</v>
      </c>
    </row>
    <row r="22" spans="2:11">
      <c r="B22" t="s">
        <v>651</v>
      </c>
      <c r="C22">
        <f>'P&amp;L'!C43</f>
        <v>2.1</v>
      </c>
      <c r="D22">
        <f>'P&amp;L'!D43</f>
        <v>3.6</v>
      </c>
      <c r="E22">
        <f>'P&amp;L'!E43</f>
        <v>5.3</v>
      </c>
      <c r="F22">
        <f>'P&amp;L'!F43</f>
        <v>7.3</v>
      </c>
      <c r="G22">
        <f>'P&amp;L'!G43</f>
        <v>19</v>
      </c>
      <c r="H22">
        <f>'P&amp;L'!H43</f>
        <v>16</v>
      </c>
      <c r="I22">
        <f>'P&amp;L'!I43</f>
        <v>19</v>
      </c>
      <c r="J22">
        <f>'P&amp;L'!J43</f>
        <v>28</v>
      </c>
      <c r="K22">
        <f>'P&amp;L'!K43</f>
        <v>51</v>
      </c>
    </row>
    <row r="23" spans="2:11">
      <c r="B23" s="24" t="s">
        <v>648</v>
      </c>
      <c r="C23" s="258">
        <f t="shared" ref="C23:K23" si="2">SUM(C20:C22)</f>
        <v>269.70000000000005</v>
      </c>
      <c r="D23" s="258">
        <f t="shared" si="2"/>
        <v>354.91529411764708</v>
      </c>
      <c r="E23" s="258">
        <f t="shared" si="2"/>
        <v>509.06470588235294</v>
      </c>
      <c r="F23" s="258">
        <f t="shared" si="2"/>
        <v>581.4764705882352</v>
      </c>
      <c r="G23" s="258">
        <f t="shared" si="2"/>
        <v>326.14352941176486</v>
      </c>
      <c r="H23" s="258">
        <f t="shared" si="2"/>
        <v>821.34588235294109</v>
      </c>
      <c r="I23" s="258">
        <f t="shared" si="2"/>
        <v>135.41529411764714</v>
      </c>
      <c r="J23" s="258">
        <f t="shared" si="2"/>
        <v>938.42941176470583</v>
      </c>
      <c r="K23" s="258">
        <f t="shared" si="2"/>
        <v>1426.9382352941175</v>
      </c>
    </row>
    <row r="25" spans="2:11" ht="15" thickBot="1">
      <c r="B25" s="31" t="s">
        <v>208</v>
      </c>
      <c r="C25" s="281">
        <f t="shared" ref="C25:K25" si="3">C23+C17+C9</f>
        <v>269.70000000000005</v>
      </c>
      <c r="D25" s="281">
        <f t="shared" ca="1" si="3"/>
        <v>-24.000000000000057</v>
      </c>
      <c r="E25" s="281">
        <f t="shared" ca="1" si="3"/>
        <v>1186.9999999999998</v>
      </c>
      <c r="F25" s="281">
        <f t="shared" ca="1" si="3"/>
        <v>1753</v>
      </c>
      <c r="G25" s="281">
        <f t="shared" ca="1" si="3"/>
        <v>-14</v>
      </c>
      <c r="H25" s="281">
        <f t="shared" ca="1" si="3"/>
        <v>2879</v>
      </c>
      <c r="I25" s="281">
        <f t="shared" ca="1" si="3"/>
        <v>-3108</v>
      </c>
      <c r="J25" s="281">
        <f t="shared" ca="1" si="3"/>
        <v>-1956</v>
      </c>
      <c r="K25" s="281">
        <f t="shared" ca="1" si="3"/>
        <v>-620</v>
      </c>
    </row>
    <row r="26" spans="2:11">
      <c r="C26" s="208"/>
    </row>
  </sheetData>
  <sheetProtection algorithmName="SHA-512" hashValue="hwtoGoipzzYlWG4kz+XqpwbUOH7uDTmMLdpZ02DWMVCzwthRJcH1mN+ocDMsB+cZ0zLQEHgNO7LxaGssWAGhug==" saltValue="8RVptnlxlb0FhhMALzQxlQ==" spinCount="100000" sheet="1" objects="1" scenarios="1"/>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Cover&gt;</vt:lpstr>
      <vt:lpstr>Input Sheet</vt:lpstr>
      <vt:lpstr>WACC</vt:lpstr>
      <vt:lpstr>Damodaran</vt:lpstr>
      <vt:lpstr>Control Sheet</vt:lpstr>
      <vt:lpstr>Schedules</vt:lpstr>
      <vt:lpstr>3 Statement Model</vt:lpstr>
      <vt:lpstr>Common Size Statement</vt:lpstr>
      <vt:lpstr>Ratios</vt:lpstr>
      <vt:lpstr>Dupont Analysis</vt:lpstr>
      <vt:lpstr>DCF&gt;</vt:lpstr>
      <vt:lpstr>DCFVal</vt:lpstr>
      <vt:lpstr>Workings&gt;</vt:lpstr>
      <vt:lpstr>Assumptions</vt:lpstr>
      <vt:lpstr>Growth Drivers</vt:lpstr>
      <vt:lpstr>Option value</vt:lpstr>
      <vt:lpstr>Client Data</vt:lpstr>
      <vt:lpstr>BS</vt:lpstr>
      <vt:lpstr>P&amp;L</vt:lpstr>
      <vt:lpstr>CFS_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Parth Verma</dc:creator>
  <cp:lastModifiedBy>Akshay Manjarekar</cp:lastModifiedBy>
  <cp:lastPrinted>2025-08-01T13:59:56Z</cp:lastPrinted>
  <dcterms:created xsi:type="dcterms:W3CDTF">2023-09-22T06:48:58Z</dcterms:created>
  <dcterms:modified xsi:type="dcterms:W3CDTF">2025-09-19T06:11:21Z</dcterms:modified>
</cp:coreProperties>
</file>