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5237C70D-D79B-4291-9A6F-73D60070D9D9}" xr6:coauthVersionLast="47" xr6:coauthVersionMax="47" xr10:uidLastSave="{00000000-0000-0000-0000-000000000000}"/>
  <bookViews>
    <workbookView xWindow="-108" yWindow="-108" windowWidth="23256" windowHeight="12456" xr2:uid="{26D4546B-D2A1-4444-8EAF-A6228F96F0C1}"/>
  </bookViews>
  <sheets>
    <sheet name="All_staff" sheetId="3" r:id="rId1"/>
    <sheet name="India Staff" sheetId="2" r:id="rId2"/>
    <sheet name="NZ Staff" sheetId="1" r:id="rId3"/>
    <sheet name="Employee Trend" sheetId="9" r:id="rId4"/>
    <sheet name="Mapping" sheetId="8" r:id="rId5"/>
    <sheet name="Salary vs Rating" sheetId="7" r:id="rId6"/>
    <sheet name="Male vs Female" sheetId="5" r:id="rId7"/>
    <sheet name="Salary Spread" sheetId="6" r:id="rId8"/>
    <sheet name="IND vs NZ" sheetId="10" r:id="rId9"/>
    <sheet name="Sheet5" sheetId="11" r:id="rId10"/>
  </sheets>
  <definedNames>
    <definedName name="_xlnm._FilterDatabase" localSheetId="1" hidden="1">'India Staff'!$B$2:$H$114</definedName>
    <definedName name="_xlnm._FilterDatabase" localSheetId="2" hidden="1">'NZ Staff'!$C$5:$I$105</definedName>
    <definedName name="_xlchart.v1.0" hidden="1">All_staff!$G$2:$G$184</definedName>
    <definedName name="_xlchart.v1.1" hidden="1">All_staff!$G$2:$G$184</definedName>
    <definedName name="_xlcn.WorksheetConnection_Excel.xlsxStaff" hidden="1">Staff[]</definedName>
    <definedName name="ExternalData_1" localSheetId="0" hidden="1">All_staff!$A$1:$H$184</definedName>
    <definedName name="Slicer_Country">#N/A</definedName>
  </definedNames>
  <calcPr calcId="191029"/>
  <pivotCaches>
    <pivotCache cacheId="0" r:id="rId11"/>
    <pivotCache cacheId="1" r:id="rId12"/>
    <pivotCache cacheId="2" r:id="rId13"/>
    <pivotCache cacheId="3" r:id="rId14"/>
    <pivotCache cacheId="4" r:id="rId15"/>
  </pivotCaches>
  <extLst>
    <ext xmlns:x14="http://schemas.microsoft.com/office/spreadsheetml/2009/9/main" uri="{876F7934-8845-4945-9796-88D515C7AA90}">
      <x14:pivotCaches>
        <pivotCache cacheId="5"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xcel.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J3" i="10"/>
  <c r="L3" i="10" s="1"/>
  <c r="N3" i="10"/>
  <c r="G3" i="10"/>
  <c r="C3" i="10"/>
  <c r="E3" i="10" s="1"/>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7" i="9"/>
  <c r="S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0" i="9"/>
  <c r="R41" i="9"/>
  <c r="R6" i="9"/>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O4" i="3"/>
  <c r="O9" i="3"/>
  <c r="I162" i="3"/>
  <c r="J162" i="3" s="1"/>
  <c r="I18" i="3"/>
  <c r="J18" i="3" s="1"/>
  <c r="I142" i="3"/>
  <c r="O14" i="3" s="1" a="1"/>
  <c r="O14"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J2" i="3"/>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O6" i="3"/>
  <c r="O5" i="3"/>
  <c r="D115" i="2"/>
  <c r="H115" i="2"/>
  <c r="H106" i="1"/>
  <c r="F106" i="1"/>
  <c r="I106" i="1"/>
  <c r="J142" i="3" l="1"/>
  <c r="O8" i="3"/>
  <c r="O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2BB02A-1979-4ECB-9C5F-E1C282F9B5DB}"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7BFD8F5-F7D4-4CB3-B22B-8FC6F89B1553}"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1F481B0F-233E-4533-8A02-EFDEF5EF95B0}"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62BA250-46E8-4A86-92A9-C18911F89D9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93EAA35A-6030-4253-BB86-BDAA2E8BFFC5}" name="WorksheetConnection_Excel.xlsx!Staff" type="102" refreshedVersion="8" minRefreshableVersion="5">
    <extLst>
      <ext xmlns:x15="http://schemas.microsoft.com/office/spreadsheetml/2010/11/main" uri="{DE250136-89BD-433C-8126-D09CA5730AF9}">
        <x15:connection id="Staff" autoDelete="1">
          <x15:rangePr sourceName="_xlcn.WorksheetConnection_Excel.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<sst xmlns="http://schemas.openxmlformats.org/spreadsheetml/2006/main" count="1884" uniqueCount="250">
  <si>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</si>
  <si>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</si>
  <si>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</si>
  <si>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</si>
  <si>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</si>
  <si>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</si>
  <si>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</si>
  <si>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</si>
  <si>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</si>
  <si>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</si>
  <si>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</si>
  <si>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</si>
  <si>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</si>
  <si>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</si>
  <si>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</si>
  <si>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</si>
  <si>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</si>
  <si>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</si>
  <si>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</si>
  <si>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</si>
  <si>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</si>
  <si>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</si>
  <si>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</si>
  <si>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</si>
  <si>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</si>
  <si>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</si>
  <si>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</si>
  <si>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</si>
  <si>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</si>
  <si>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</si>
  <si>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</si>
  <si>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</si>
  <si>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</si>
  <si>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</si>
  <si>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</si>
  <si>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</si>
  <si>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</si>
  <si>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</si>
  <si>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</si>
  <si>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</si>
  <si>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</si>
  <si>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</si>
  <si>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</si>
  <si>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</si>
  <si>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</si>
  <si>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</si>
  <si>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</si>
  <si>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</si>
  <si>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</si>
  <si>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</si>
  <si>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</si>
  <si>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</si>
  <si>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</si>
  <si>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</si>
  <si>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</si>
  <si>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</si>
  <si>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</si>
  <si>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</si>
  <si>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</si>
  <si>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</si>
  <si>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</si>
  <si>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</si>
  <si>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</si>
  <si>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</si>
  <si>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</si>
  <si>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</si>
  <si>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</si>
  <si>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</si>
  <si>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</si>
  <si>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</si>
  <si>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</si>
  <si>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</si>
  <si>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</si>
  <si>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</si>
  <si>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</si>
  <si>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</si>
  <si>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</si>
  <si>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</si>
  <si>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</si>
  <si>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</si>
  <si>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</si>
  <si>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</si>
  <si>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</si>
  <si>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</si>
  <si>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</si>
  <si>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</si>
  <si>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</si>
  <si>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</si>
  <si>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</si>
  <si>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</si>
  <si>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</si>
  <si>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</si>
  <si>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</si>
  <si>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</si>
  <si>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</si>
  <si>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</si>
  <si>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</si>
  <si>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</si>
  <si>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</si>
  <si>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</si>
  <si>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</si>
  <si>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</si>
  <si>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</si>
  <si>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</si>
  <si>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</si>
  <si>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</si>
  <si>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</si>
  <si>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</si>
  <si>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</si>
  <si>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</si>
  <si>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</si>
  <si>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</si>
  <si>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</si>
  <si>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</si>
  <si>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</si>
  <si>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</si>
  <si>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</si>
  <si>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</si>
  <si>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</si>
  <si>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</si>
  <si>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</si>
  <si>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</si>
  <si>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</si>
  <si>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</si>
  <si>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</si>
  <si>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</si>
  <si>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</si>
  <si>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</si>
  <si>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</si>
  <si>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</si>
  <si>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</si>
  <si>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</si>
  <si>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</si>
  <si>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</si>
  <si>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</si>
  <si>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</si>
  <si>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</si>
  <si>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</si>
  <si>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</si>
  <si>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</si>
  <si>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</si>
  <si>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</si>
  <si>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</si>
  <si>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</si>
  <si>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</si>
  <si>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</si>
  <si>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</si>
  <si>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</si>
  <si>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</si>
  <si>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</si>
  <si>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</si>
  <si>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</si>
  <si>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</si>
  <si>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</si>
  <si>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</si>
  <si>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</si>
  <si>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</si>
  <si>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</si>
  <si>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</si>
  <si>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</si>
  <si>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</si>
  <si>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</si>
  <si>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</si>
  <si>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</si>
  <si>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</si>
  <si>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</si>
  <si>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</si>
  <si>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</si>
  <si>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</si>
  <si>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</si>
  <si>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</si>
  <si>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</si>
  <si>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</si>
  <si>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</si>
  <si>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</si>
  <si>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</si>
  <si>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</si>
  <si>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</si>
  <si>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</si>
  <si>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</si>
  <si>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</si>
  <si>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</si>
  <si>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</si>
  <si>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</si>
  <si>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</si>
  <si>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</si>
  <si>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</si>
  <si>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</si>
  <si>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</si>
  <si>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</si>
  <si>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</si>
  <si>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</si>
  <si>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</si>
  <si>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</si>
  <si>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</si>
  <si>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</si>
  <si>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</si>
  <si>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</si>
  <si>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</si>
  <si>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</si>
  <si>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</si>
  <si>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</si>
  <si>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</si>
  <si>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</si>
  <si>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</si>
  <si>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</si>
  <si>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</si>
  <si>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</si>
  <si>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Average Salary</t>
  </si>
  <si>
    <t>Average tenure</t>
  </si>
  <si>
    <t>Average Age</t>
  </si>
  <si>
    <t>Count of Employees</t>
  </si>
  <si>
    <t>Female Ratio %</t>
  </si>
  <si>
    <t>Tenure</t>
  </si>
  <si>
    <t>Female Count</t>
  </si>
  <si>
    <t>Joining Date</t>
  </si>
  <si>
    <t>Male vs Female</t>
  </si>
  <si>
    <t>Column Labels</t>
  </si>
  <si>
    <t>Count of Name</t>
  </si>
  <si>
    <t>Average of Age</t>
  </si>
  <si>
    <t>Values</t>
  </si>
  <si>
    <t>Average of Salary</t>
  </si>
  <si>
    <t>Average of Tenure</t>
  </si>
  <si>
    <t>Bonus</t>
  </si>
  <si>
    <t>Row Labels</t>
  </si>
  <si>
    <t>Grand Total</t>
  </si>
  <si>
    <t>Rating as Number</t>
  </si>
  <si>
    <t>2020</t>
  </si>
  <si>
    <t>May</t>
  </si>
  <si>
    <t>Jun</t>
  </si>
  <si>
    <t>Jul</t>
  </si>
  <si>
    <t>Aug</t>
  </si>
  <si>
    <t>Sep</t>
  </si>
  <si>
    <t>Oct</t>
  </si>
  <si>
    <t>Nov</t>
  </si>
  <si>
    <t>Dec</t>
  </si>
  <si>
    <t>2021</t>
  </si>
  <si>
    <t>Jan</t>
  </si>
  <si>
    <t>Feb</t>
  </si>
  <si>
    <t>Mar</t>
  </si>
  <si>
    <t>Apr</t>
  </si>
  <si>
    <t>2022</t>
  </si>
  <si>
    <t>2023</t>
  </si>
  <si>
    <t>Month</t>
  </si>
  <si>
    <t>Headcount</t>
  </si>
  <si>
    <t xml:space="preserve">Running Total </t>
  </si>
  <si>
    <t xml:space="preserve"> </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</si>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</sst>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quot;₹&quot;\ #,##0.00"/>
    <numFmt numFmtId="165" formatCode="0.0"/>
  </numFmts>
  <fonts count="13"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1"/>
      <color theme="0"/>
      <name val="Calibri"/>
      <family val="2"/>
      <scheme val="minor"/>
    </font>
    <font>
      <b/>
      <sz val="24"/>
      <color theme="0"/>
      <name val="Calibri"/>
      <family val="2"/>
      <scheme val="minor"/>
    </font>
    <font>
      <b/>
      <sz val="72"/>
      <color theme="0"/>
      <name val="Calibri"/>
      <family val="2"/>
      <scheme val="minor"/>
    </font>
    <font>
      <b/>
      <sz val="72"/>
      <color theme="1"/>
      <name val="Calibri"/>
      <family val="2"/>
      <scheme val="minor"/>
    </font>
    <font>
      <b/>
      <sz val="24"/>
      <color theme="1"/>
      <name val="Calibri"/>
      <family val="2"/>
      <scheme val="minor"/>
    </font>
    <font>
      <b/>
      <sz val="18"/>
      <color theme="1"/>
      <name val="Segoe UI Light"/>
      <family val="2"/>
    </font>
    <font>
      <b/>
      <sz val="18"/>
      <color theme="1"/>
      <name val="Calibri"/>
      <family val="2"/>
      <scheme val="minor"/>
    </font>
    <font>
      <b/>
      <sz val="16"/>
      <color theme="0"/>
      <name val="Segoe UI Black"/>
      <family val="2"/>
    </font>
    <font>
      <b/>
      <sz val="16"/>
      <color theme="1"/>
      <name val="Segoe UI Black"/>
      <family val="2"/>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C000"/>
        <bgColor indexed="64"/>
      </patternFill>
    </fill>
    <fill>
      <patternFill patternType="solid">
        <fgColor rgb="FFFFFF00"/>
        <bgColor theme="9" tint="0.79998168889431442"/>
      </patternFill>
    </fill>
    <fill>
      <patternFill patternType="solid">
        <fgColor theme="5" tint="-0.249977111117893"/>
        <bgColor indexed="64"/>
      </patternFill>
    </fill>
    <fill>
      <patternFill patternType="solid">
        <fgColor theme="8"/>
        <bgColor indexed="64"/>
      </patternFill>
    </fill>
    <fill>
      <patternFill patternType="solid">
        <fgColor theme="5"/>
        <bgColor indexed="64"/>
      </patternFill>
    </fill>
    <fill>
      <patternFill patternType="solid">
        <fgColor theme="0" tint="-0.249977111117893"/>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8" fontId="0" fillId="0" borderId="0" xfId="0" applyNumberFormat="1"/>
    <xf numFmtId="165" fontId="0" fillId="0" borderId="0" xfId="0" applyNumberFormat="1"/>
    <xf numFmtId="2" fontId="0" fillId="0" borderId="0" xfId="0" applyNumberFormat="1"/>
    <xf numFmtId="9" fontId="0" fillId="0" borderId="0" xfId="1" applyFont="1"/>
    <xf numFmtId="0" fontId="3" fillId="4" borderId="0" xfId="0" applyFont="1" applyFill="1" applyAlignment="1">
      <alignment horizontal="center"/>
    </xf>
    <xf numFmtId="0" fontId="0" fillId="5" borderId="1" xfId="0" applyFill="1" applyBorder="1"/>
    <xf numFmtId="0" fontId="0" fillId="0" borderId="0" xfId="0" applyAlignment="1">
      <alignment horizontal="left"/>
    </xf>
    <xf numFmtId="0" fontId="3" fillId="6" borderId="0" xfId="0" applyFont="1" applyFill="1" applyAlignment="1">
      <alignment horizontal="center"/>
    </xf>
    <xf numFmtId="0" fontId="0" fillId="0" borderId="0" xfId="0" pivotButton="1"/>
    <xf numFmtId="8" fontId="4" fillId="0" borderId="0" xfId="0" applyNumberFormat="1" applyFont="1"/>
    <xf numFmtId="0" fontId="0" fillId="0" borderId="0" xfId="0" applyAlignment="1">
      <alignment horizontal="left" indent="1"/>
    </xf>
    <xf numFmtId="4" fontId="0" fillId="0" borderId="0" xfId="0" applyNumberFormat="1"/>
    <xf numFmtId="0" fontId="0" fillId="0" borderId="2" xfId="0" applyBorder="1"/>
    <xf numFmtId="0" fontId="0" fillId="0" borderId="3" xfId="0" applyBorder="1" applyAlignment="1">
      <alignment horizontal="left"/>
    </xf>
    <xf numFmtId="0" fontId="0" fillId="0" borderId="3" xfId="0" applyBorder="1"/>
    <xf numFmtId="15" fontId="0" fillId="0" borderId="3" xfId="0" applyNumberFormat="1" applyBorder="1" applyAlignment="1">
      <alignment horizontal="left"/>
    </xf>
    <xf numFmtId="8" fontId="0" fillId="0" borderId="3" xfId="0" applyNumberFormat="1" applyBorder="1" applyAlignment="1">
      <alignment horizontal="left"/>
    </xf>
    <xf numFmtId="2" fontId="0" fillId="0" borderId="3" xfId="0" applyNumberFormat="1" applyBorder="1" applyAlignment="1">
      <alignment horizontal="left"/>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horizontal="center" vertical="center"/>
    </xf>
    <xf numFmtId="9" fontId="5" fillId="7" borderId="0" xfId="0" applyNumberFormat="1" applyFont="1" applyFill="1" applyAlignment="1">
      <alignment horizontal="center" vertical="center"/>
    </xf>
    <xf numFmtId="0" fontId="6" fillId="7" borderId="0" xfId="0" applyFont="1" applyFill="1" applyAlignment="1">
      <alignment horizontal="center" vertical="center"/>
    </xf>
    <xf numFmtId="0" fontId="7" fillId="8" borderId="0" xfId="0" applyFont="1" applyFill="1" applyAlignment="1">
      <alignment horizontal="center" vertical="center"/>
    </xf>
    <xf numFmtId="9" fontId="8" fillId="8" borderId="0" xfId="0" applyNumberFormat="1" applyFont="1" applyFill="1" applyAlignment="1">
      <alignment horizontal="center" vertical="center"/>
    </xf>
    <xf numFmtId="8" fontId="11" fillId="7" borderId="0" xfId="0" applyNumberFormat="1" applyFont="1" applyFill="1" applyAlignment="1">
      <alignment horizontal="center" vertical="center"/>
    </xf>
    <xf numFmtId="8" fontId="12" fillId="8" borderId="0" xfId="0" applyNumberFormat="1" applyFont="1" applyFill="1" applyAlignment="1">
      <alignment horizontal="center" vertical="center"/>
    </xf>
    <xf numFmtId="0" fontId="9" fillId="9" borderId="0" xfId="0" applyFont="1" applyFill="1" applyAlignment="1">
      <alignment horizontal="center" vertical="center"/>
    </xf>
    <xf numFmtId="0" fontId="10" fillId="0" borderId="0" xfId="0" applyFont="1" applyAlignment="1">
      <alignment horizontal="center" vertical="center"/>
    </xf>
  </cellXfs>
  <cellStyles count="2">
    <cellStyle name="Normal" xfId="0" builtinId="0"/>
    <cellStyle name="Percent" xfId="1" builtinId="5"/>
  </cellStyles>
  <dxfs count="20">
    <dxf>
      <font>
        <color rgb="FF9C0006"/>
      </font>
      <fill>
        <patternFill>
          <bgColor rgb="FFFFC7CE"/>
        </patternFill>
      </fill>
    </dxf>
    <dxf>
      <numFmt numFmtId="2" formatCode="0.00"/>
    </dxf>
    <dxf>
      <numFmt numFmtId="2" formatCode="0.00"/>
    </dxf>
    <dxf>
      <numFmt numFmtId="12" formatCode="&quot;₹&quot;\ #,##0.00;[Red]&quot;₹&quot;\ \-#,##0.00"/>
    </dxf>
    <dxf>
      <numFmt numFmtId="12" formatCode="&quot;₹&quot;\ #,##0.00;[Red]&quot;₹&quot;\ \-#,##0.00"/>
    </dxf>
    <dxf>
      <numFmt numFmtId="164" formatCode="&quot;₹&quot;\ #,##0.00"/>
    </dxf>
    <dxf>
      <numFmt numFmtId="4" formatCode="#,##0.00"/>
    </dxf>
    <dxf>
      <numFmt numFmtId="4" formatCode="#,##0.00"/>
    </dxf>
    <dxf>
      <numFmt numFmtId="164" formatCode="&quot;₹&quot;\ #,##0.00"/>
    </dxf>
    <dxf>
      <numFmt numFmtId="20" formatCode="dd/mmm/yy"/>
    </dxf>
    <dxf>
      <numFmt numFmtId="164" formatCode="&quot;₹&quot;\ #,##0.00"/>
    </dxf>
    <dxf>
      <numFmt numFmtId="20" formatCode="dd/mmm/yy"/>
    </dxf>
    <dxf>
      <numFmt numFmtId="0" formatCode="General"/>
    </dxf>
    <dxf>
      <numFmt numFmtId="12" formatCode="&quot;₹&quot;\ #,##0.00;[Red]&quot;₹&quot;\ \-#,##0.00"/>
    </dxf>
    <dxf>
      <numFmt numFmtId="165" formatCode="0.0"/>
    </dxf>
    <dxf>
      <numFmt numFmtId="12" formatCode="&quot;₹&quot;\ #,##0.00;[Red]&quot;₹&quot;\ \-#,##0.00"/>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[Excel.xlsx]Employee Trend!PivotTable2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8575" cap="rnd">
              <a:solidFill>
                <a:schemeClr val="accent1"/>
              </a:solidFill>
              <a:round/>
            </a:ln>
            <a:effectLst/>
          </c:spPr>
          <c:marker>
            <c:symbol val="none"/>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1B6-48AA-A895-380C9718E0C8}"/>
            </c:ext>
          </c:extLst>
        </c:ser>
        <c:dLbls>
          <c:showLegendKey val="0"/>
          <c:showVal val="0"/>
          <c:showCatName val="0"/>
          <c:showSerName val="0"/>
          <c:showPercent val="0"/>
          <c:showBubbleSize val="0"/>
        </c:dLbls>
        <c:smooth val="0"/>
        <c:axId val="1460467056"/>
        <c:axId val="1955090768"/>
      </c:lineChart>
      <c:catAx>
        <c:axId val="146046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090768"/>
        <c:crosses val="autoZero"/>
        <c:auto val="1"/>
        <c:lblAlgn val="ctr"/>
        <c:lblOffset val="100"/>
        <c:noMultiLvlLbl val="0"/>
      </c:catAx>
      <c:valAx>
        <c:axId val="195509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46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Trend'!$S$5</c:f>
              <c:strCache>
                <c:ptCount val="1"/>
                <c:pt idx="0">
                  <c:v>Running Total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Trend'!$Q$6:$Q$41</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Trend'!$S$6:$S$41</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E077-42AF-B68C-5CBADBA71AAE}"/>
            </c:ext>
          </c:extLst>
        </c:ser>
        <c:dLbls>
          <c:showLegendKey val="0"/>
          <c:showVal val="0"/>
          <c:showCatName val="0"/>
          <c:showSerName val="0"/>
          <c:showPercent val="0"/>
          <c:showBubbleSize val="0"/>
        </c:dLbls>
        <c:marker val="1"/>
        <c:smooth val="0"/>
        <c:axId val="1964635648"/>
        <c:axId val="1956667888"/>
      </c:lineChart>
      <c:dateAx>
        <c:axId val="196463564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667888"/>
        <c:crosses val="autoZero"/>
        <c:auto val="1"/>
        <c:lblOffset val="100"/>
        <c:baseTimeUnit val="months"/>
      </c:dateAx>
      <c:valAx>
        <c:axId val="195666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63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4BAD-4748-8217-0FFDD81DE0A9}"/>
            </c:ext>
          </c:extLst>
        </c:ser>
        <c:dLbls>
          <c:showLegendKey val="0"/>
          <c:showVal val="0"/>
          <c:showCatName val="0"/>
          <c:showSerName val="0"/>
          <c:showPercent val="0"/>
          <c:showBubbleSize val="0"/>
        </c:dLbls>
        <c:axId val="1228948304"/>
        <c:axId val="1452681488"/>
      </c:scatterChart>
      <c:valAx>
        <c:axId val="12289483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681488"/>
        <c:crosses val="autoZero"/>
        <c:crossBetween val="midCat"/>
      </c:valAx>
      <c:valAx>
        <c:axId val="145268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948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[Excel.xlsx]Sheet5!PivotTable3</c:name>
    <c:fmtId val="4"/>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Sheet5!$C$3</c:f>
              <c:strCache>
                <c:ptCount val="1"/>
                <c:pt idx="0">
                  <c:v>Total</c:v>
                </c:pt>
              </c:strCache>
            </c:strRef>
          </c:tx>
          <c:spPr>
            <a:solidFill>
              <a:schemeClr val="accent2"/>
            </a:solidFill>
            <a:ln>
              <a:noFill/>
            </a:ln>
            <a:effectLst/>
          </c:spPr>
          <c:invertIfNegative val="0"/>
          <c:cat>
            <c:strRef>
              <c:f>Sheet5!$B$4:$B$9</c:f>
              <c:strCache>
                <c:ptCount val="5"/>
                <c:pt idx="0">
                  <c:v>Procurement</c:v>
                </c:pt>
                <c:pt idx="1">
                  <c:v>Website</c:v>
                </c:pt>
                <c:pt idx="2">
                  <c:v>Finance</c:v>
                </c:pt>
                <c:pt idx="3">
                  <c:v>Sales</c:v>
                </c:pt>
                <c:pt idx="4">
                  <c:v>HR</c:v>
                </c:pt>
              </c:strCache>
            </c:strRef>
          </c:cat>
          <c:val>
            <c:numRef>
              <c:f>Sheet5!$C$4:$C$9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4EE-4830-977C-D4EB06A458D3}"/>
            </c:ext>
          </c:extLst>
        </c:ser>
        <c:dLbls>
          <c:showLegendKey val="0"/>
          <c:showVal val="0"/>
          <c:showCatName val="0"/>
          <c:showSerName val="0"/>
          <c:showPercent val="0"/>
          <c:showBubbleSize val="0"/>
        </c:dLbls>
        <c:gapWidth val="25"/>
        <c:axId val="1234786384"/>
        <c:axId val="1959687280"/>
      </c:barChart>
      <c:catAx>
        <c:axId val="12347863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687280"/>
        <c:crosses val="autoZero"/>
        <c:auto val="1"/>
        <c:lblAlgn val="ctr"/>
        <c:lblOffset val="100"/>
        <c:noMultiLvlLbl val="0"/>
      </c:catAx>
      <c:valAx>
        <c:axId val="195968728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8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Sheet5!$G$3</c:f>
              <c:strCache>
                <c:ptCount val="1"/>
                <c:pt idx="0">
                  <c:v>Total</c:v>
                </c:pt>
              </c:strCache>
            </c:strRef>
          </c:tx>
          <c:spPr>
            <a:solidFill>
              <a:schemeClr val="accent1"/>
            </a:solidFill>
            <a:ln>
              <a:noFill/>
            </a:ln>
            <a:effectLst/>
          </c:spPr>
          <c:invertIfNegative val="0"/>
          <c:cat>
            <c:strRef>
              <c:f>Sheet5!$F$4:$F$9</c:f>
              <c:strCache>
                <c:ptCount val="5"/>
                <c:pt idx="0">
                  <c:v>Website</c:v>
                </c:pt>
                <c:pt idx="1">
                  <c:v>Procurement</c:v>
                </c:pt>
                <c:pt idx="2">
                  <c:v>Finance</c:v>
                </c:pt>
                <c:pt idx="3">
                  <c:v>Sales</c:v>
                </c:pt>
                <c:pt idx="4">
                  <c:v>HR</c:v>
                </c:pt>
              </c:strCache>
            </c:strRef>
          </c:cat>
          <c:val>
            <c:numRef>
              <c:f>Sheet5!$G$4:$G$9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B487-47DC-B693-D84734D0E3D3}"/>
            </c:ext>
          </c:extLst>
        </c:ser>
        <c:dLbls>
          <c:showLegendKey val="0"/>
          <c:showVal val="0"/>
          <c:showCatName val="0"/>
          <c:showSerName val="0"/>
          <c:showPercent val="0"/>
          <c:showBubbleSize val="0"/>
        </c:dLbls>
        <c:gapWidth val="25"/>
        <c:axId val="2066858256"/>
        <c:axId val="1966071376"/>
      </c:barChart>
      <c:catAx>
        <c:axId val="2066858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071376"/>
        <c:crosses val="autoZero"/>
        <c:auto val="1"/>
        <c:lblAlgn val="ctr"/>
        <c:lblOffset val="100"/>
        <c:noMultiLvlLbl val="0"/>
      </c:catAx>
      <c:valAx>
        <c:axId val="196607137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5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Sheet5!$C$3</c:f>
              <c:strCache>
                <c:ptCount val="1"/>
                <c:pt idx="0">
                  <c:v>Total</c:v>
                </c:pt>
              </c:strCache>
            </c:strRef>
          </c:tx>
          <c:spPr>
            <a:solidFill>
              <a:schemeClr val="accent1"/>
            </a:solidFill>
            <a:ln>
              <a:noFill/>
            </a:ln>
            <a:effectLst/>
          </c:spPr>
          <c:invertIfNegative val="0"/>
          <c:cat>
            <c:strRef>
              <c:f>Sheet5!$B$4:$B$9</c:f>
              <c:strCache>
                <c:ptCount val="5"/>
                <c:pt idx="0">
                  <c:v>Procurement</c:v>
                </c:pt>
                <c:pt idx="1">
                  <c:v>Website</c:v>
                </c:pt>
                <c:pt idx="2">
                  <c:v>Finance</c:v>
                </c:pt>
                <c:pt idx="3">
                  <c:v>Sales</c:v>
                </c:pt>
                <c:pt idx="4">
                  <c:v>HR</c:v>
                </c:pt>
              </c:strCache>
            </c:strRef>
          </c:cat>
          <c:val>
            <c:numRef>
              <c:f>Sheet5!$C$4:$C$9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CD18-49AD-ACAD-87FD16DD3859}"/>
            </c:ext>
          </c:extLst>
        </c:ser>
        <c:dLbls>
          <c:showLegendKey val="0"/>
          <c:showVal val="0"/>
          <c:showCatName val="0"/>
          <c:showSerName val="0"/>
          <c:showPercent val="0"/>
          <c:showBubbleSize val="0"/>
        </c:dLbls>
        <c:gapWidth val="182"/>
        <c:axId val="1234786384"/>
        <c:axId val="1959687280"/>
      </c:barChart>
      <c:catAx>
        <c:axId val="1234786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687280"/>
        <c:crosses val="autoZero"/>
        <c:auto val="1"/>
        <c:lblAlgn val="ctr"/>
        <c:lblOffset val="100"/>
        <c:noMultiLvlLbl val="0"/>
      </c:catAx>
      <c:valAx>
        <c:axId val="1959687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8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Sheet5!$G$3</c:f>
              <c:strCache>
                <c:ptCount val="1"/>
                <c:pt idx="0">
                  <c:v>Total</c:v>
                </c:pt>
              </c:strCache>
            </c:strRef>
          </c:tx>
          <c:spPr>
            <a:solidFill>
              <a:schemeClr val="accent1"/>
            </a:solidFill>
            <a:ln>
              <a:noFill/>
            </a:ln>
            <a:effectLst/>
          </c:spPr>
          <c:invertIfNegative val="0"/>
          <c:cat>
            <c:strRef>
              <c:f>Sheet5!$F$4:$F$9</c:f>
              <c:strCache>
                <c:ptCount val="5"/>
                <c:pt idx="0">
                  <c:v>Website</c:v>
                </c:pt>
                <c:pt idx="1">
                  <c:v>Procurement</c:v>
                </c:pt>
                <c:pt idx="2">
                  <c:v>Finance</c:v>
                </c:pt>
                <c:pt idx="3">
                  <c:v>Sales</c:v>
                </c:pt>
                <c:pt idx="4">
                  <c:v>HR</c:v>
                </c:pt>
              </c:strCache>
            </c:strRef>
          </c:cat>
          <c:val>
            <c:numRef>
              <c:f>Sheet5!$G$4:$G$9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9233-4202-A560-E0307344460F}"/>
            </c:ext>
          </c:extLst>
        </c:ser>
        <c:dLbls>
          <c:showLegendKey val="0"/>
          <c:showVal val="0"/>
          <c:showCatName val="0"/>
          <c:showSerName val="0"/>
          <c:showPercent val="0"/>
          <c:showBubbleSize val="0"/>
        </c:dLbls>
        <c:gapWidth val="182"/>
        <c:axId val="2066858256"/>
        <c:axId val="1966071376"/>
      </c:barChart>
      <c:catAx>
        <c:axId val="206685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071376"/>
        <c:crosses val="autoZero"/>
        <c:auto val="1"/>
        <c:lblAlgn val="ctr"/>
        <c:lblOffset val="100"/>
        <c:noMultiLvlLbl val="0"/>
      </c:catAx>
      <c:valAx>
        <c:axId val="196607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5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178915F3-6294-4C2E-ABC9-D13EE2BC08C7}">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9E403E40-9BD1-4F41-81CC-E4E2705DE97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179070</xdr:rowOff>
    </xdr:from>
    <xdr:to>
      <xdr:col>11</xdr:col>
      <xdr:colOff>304800</xdr:colOff>
      <xdr:row>16</xdr:row>
      <xdr:rowOff>179070</xdr:rowOff>
    </xdr:to>
    <xdr:graphicFrame macro="">
      <xdr:nvGraphicFramePr>
        <xdr:cNvPr id="2" name="Chart 1">
          <a:extLst>
            <a:ext uri="{FF2B5EF4-FFF2-40B4-BE49-F238E27FC236}">
              <a16:creationId xmlns:a16="http://schemas.microsoft.com/office/drawing/2014/main" id="{A6CFC6C9-1BB5-BAD6-5A34-F6095E78E7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3810</xdr:rowOff>
    </xdr:from>
    <xdr:to>
      <xdr:col>11</xdr:col>
      <xdr:colOff>304800</xdr:colOff>
      <xdr:row>33</xdr:row>
      <xdr:rowOff>3810</xdr:rowOff>
    </xdr:to>
    <xdr:graphicFrame macro="">
      <xdr:nvGraphicFramePr>
        <xdr:cNvPr id="3" name="Chart 2">
          <a:extLst>
            <a:ext uri="{FF2B5EF4-FFF2-40B4-BE49-F238E27FC236}">
              <a16:creationId xmlns:a16="http://schemas.microsoft.com/office/drawing/2014/main" id="{13966E09-3564-50F8-4445-658CAA585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403860</xdr:colOff>
      <xdr:row>2</xdr:row>
      <xdr:rowOff>15240</xdr:rowOff>
    </xdr:from>
    <xdr:to>
      <xdr:col>17</xdr:col>
      <xdr:colOff>350520</xdr:colOff>
      <xdr:row>18</xdr:row>
      <xdr:rowOff>114300</xdr:rowOff>
    </xdr:to>
    <xdr:graphicFrame macro="">
      <xdr:nvGraphicFramePr>
        <xdr:cNvPr id="2" name="Chart 1">
          <a:extLst>
            <a:ext uri="{FF2B5EF4-FFF2-40B4-BE49-F238E27FC236}">
              <a16:creationId xmlns:a16="http://schemas.microsoft.com/office/drawing/2014/main" id="{B01BC47E-813B-4125-BB6D-21411082F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3</xdr:row>
      <xdr:rowOff>15241</xdr:rowOff>
    </xdr:from>
    <xdr:to>
      <xdr:col>6</xdr:col>
      <xdr:colOff>1005840</xdr:colOff>
      <xdr:row>8</xdr:row>
      <xdr:rowOff>7621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21B709CE-BAB1-6273-0816-F29DC3D7FE7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12920" y="56388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22860</xdr:colOff>
      <xdr:row>1</xdr:row>
      <xdr:rowOff>15240</xdr:rowOff>
    </xdr:from>
    <xdr:to>
      <xdr:col>11</xdr:col>
      <xdr:colOff>601980</xdr:colOff>
      <xdr:row>20</xdr:row>
      <xdr:rowOff>91440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E83620B-8499-477F-8735-F3E043CE17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2460" y="198120"/>
              <a:ext cx="6675120" cy="35509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92336</xdr:colOff>
      <xdr:row>0</xdr:row>
      <xdr:rowOff>165399</xdr:rowOff>
    </xdr:from>
    <xdr:to>
      <xdr:col>19</xdr:col>
      <xdr:colOff>397136</xdr:colOff>
      <xdr:row>24</xdr:row>
      <xdr:rowOff>81579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510BEDA-FBFA-4E8B-9509-B9DC05015A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07536" y="165399"/>
              <a:ext cx="4572000" cy="4305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15240</xdr:colOff>
      <xdr:row>7</xdr:row>
      <xdr:rowOff>7620</xdr:rowOff>
    </xdr:from>
    <xdr:to>
      <xdr:col>13</xdr:col>
      <xdr:colOff>1386840</xdr:colOff>
      <xdr:row>22</xdr:row>
      <xdr:rowOff>0</xdr:rowOff>
    </xdr:to>
    <xdr:graphicFrame macro="">
      <xdr:nvGraphicFramePr>
        <xdr:cNvPr id="2" name="Chart 1">
          <a:extLst>
            <a:ext uri="{FF2B5EF4-FFF2-40B4-BE49-F238E27FC236}">
              <a16:creationId xmlns:a16="http://schemas.microsoft.com/office/drawing/2014/main" id="{E1F46EF2-07D4-416D-8FE2-AB6CC6959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xdr:colOff>
      <xdr:row>7</xdr:row>
      <xdr:rowOff>0</xdr:rowOff>
    </xdr:from>
    <xdr:to>
      <xdr:col>7</xdr:col>
      <xdr:colOff>15240</xdr:colOff>
      <xdr:row>21</xdr:row>
      <xdr:rowOff>175260</xdr:rowOff>
    </xdr:to>
    <xdr:graphicFrame macro="">
      <xdr:nvGraphicFramePr>
        <xdr:cNvPr id="3" name="Chart 2">
          <a:extLst>
            <a:ext uri="{FF2B5EF4-FFF2-40B4-BE49-F238E27FC236}">
              <a16:creationId xmlns:a16="http://schemas.microsoft.com/office/drawing/2014/main" id="{90590DF6-D020-48AE-951E-235674C7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600636</xdr:colOff>
      <xdr:row>1</xdr:row>
      <xdr:rowOff>152400</xdr:rowOff>
    </xdr:from>
    <xdr:to>
      <xdr:col>7</xdr:col>
      <xdr:colOff>600636</xdr:colOff>
      <xdr:row>22</xdr:row>
      <xdr:rowOff>17929</xdr:rowOff>
    </xdr:to>
    <xdr:cxnSp macro="">
      <xdr:nvCxnSpPr>
        <xdr:cNvPr id="7" name="Straight Connector 6">
          <a:extLst>
            <a:ext uri="{FF2B5EF4-FFF2-40B4-BE49-F238E27FC236}">
              <a16:creationId xmlns:a16="http://schemas.microsoft.com/office/drawing/2014/main" id="{51AA16D2-FD91-4FCA-1CD3-FE61B1985F93}"/>
            </a:ext>
          </a:extLst>
        </xdr:cNvPr>
        <xdr:cNvCxnSpPr/>
      </xdr:nvCxnSpPr>
      <xdr:spPr>
        <a:xfrm>
          <a:off x="6320118" y="331694"/>
          <a:ext cx="0" cy="4805082"/>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601980</xdr:colOff>
      <xdr:row>9</xdr:row>
      <xdr:rowOff>171450</xdr:rowOff>
    </xdr:from>
    <xdr:to>
      <xdr:col>4</xdr:col>
      <xdr:colOff>594360</xdr:colOff>
      <xdr:row>24</xdr:row>
      <xdr:rowOff>137160</xdr:rowOff>
    </xdr:to>
    <xdr:graphicFrame macro="">
      <xdr:nvGraphicFramePr>
        <xdr:cNvPr id="2" name="Chart 1">
          <a:extLst>
            <a:ext uri="{FF2B5EF4-FFF2-40B4-BE49-F238E27FC236}">
              <a16:creationId xmlns:a16="http://schemas.microsoft.com/office/drawing/2014/main" id="{3A42C917-75C9-0997-EE00-6E3988A4E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830580</xdr:colOff>
      <xdr:row>9</xdr:row>
      <xdr:rowOff>171450</xdr:rowOff>
    </xdr:from>
    <xdr:to>
      <xdr:col>14</xdr:col>
      <xdr:colOff>182880</xdr:colOff>
      <xdr:row>24</xdr:row>
      <xdr:rowOff>171450</xdr:rowOff>
    </xdr:to>
    <xdr:graphicFrame macro="">
      <xdr:nvGraphicFramePr>
        <xdr:cNvPr id="3" name="Chart 2">
          <a:extLst>
            <a:ext uri="{FF2B5EF4-FFF2-40B4-BE49-F238E27FC236}">
              <a16:creationId xmlns:a16="http://schemas.microsoft.com/office/drawing/2014/main" id="{26B76889-A74D-4BA3-416A-D6F2D4035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43179398149" backgroundQuery="1" createdVersion="8" refreshedVersion="8" minRefreshableVersion="3" recordCount="0" supportSubquery="1" supportAdvancedDrill="1" xr:uid="{261860E4-A027-4DA4-BAAA-D57743DBB3B1}">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43180671296" backgroundQuery="1" createdVersion="8" refreshedVersion="8" minRefreshableVersion="3" recordCount="0" supportSubquery="1" supportAdvancedDrill="1" xr:uid="{1F1B6BFC-17F5-416F-B0CD-17871C0C3E12}">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45952662034" backgroundQuery="1" createdVersion="8" refreshedVersion="8" minRefreshableVersion="3" recordCount="0" supportSubquery="1" supportAdvancedDrill="1" xr:uid="{A25F4071-B161-4F29-ADFE-9EF4CC15B917}">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66992824076" backgroundQuery="1" createdVersion="8" refreshedVersion="8" minRefreshableVersion="3" recordCount="0" supportSubquery="1" supportAdvancedDrill="1" xr:uid="{AF4B2542-8818-48F5-94EF-36AF247A3C92}">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67040625001" backgroundQuery="1" createdVersion="8" refreshedVersion="8" minRefreshableVersion="3" recordCount="0" supportSubquery="1" supportAdvancedDrill="1" xr:uid="{A74415E3-2ABB-4129-AB71-506B81D29AFC}">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shay Thakur" refreshedDate="45236.44317997685" backgroundQuery="1" createdVersion="3" refreshedVersion="8" minRefreshableVersion="3" recordCount="0" supportSubquery="1" supportAdvancedDrill="1" xr:uid="{1E002E28-9457-4FBC-8CD4-150AB18AC7E8}">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8580099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2631DC-4829-4140-8169-965DD97F4AD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6"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A4455-0AF4-44BE-9BCC-47CC8D5486B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formats count="3">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 dxfId="5">
      <pivotArea outline="0" fieldPosition="0">
        <references count="1">
          <reference field="4294967294" count="1">
            <x v="1"/>
          </reference>
        </references>
      </pivotArea>
    </format>
  </formats>
  <conditionalFormats count="2">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 scope="field" priority="2">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2672D5-7328-4BC1-AFE5-F6A4DDE3EB2F}"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D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2"/>
    <dataField name="Average of Salary" fld="3" subtotal="average" baseField="0" baseItem="0"/>
    <dataField name="Average of Tenure" fld="4" subtotal="average" baseField="0" baseItem="0"/>
  </dataFields>
  <formats count="4">
    <format dxfId="4">
      <pivotArea collapsedLevelsAreSubtotals="1" fieldPosition="0">
        <references count="2">
          <reference field="4294967294" count="1">
            <x v="2"/>
          </reference>
          <reference field="0" count="1" selected="0">
            <x v="0"/>
          </reference>
        </references>
      </pivotArea>
    </format>
    <format dxfId="3">
      <pivotArea collapsedLevelsAreSubtotals="1" fieldPosition="0">
        <references count="2">
          <reference field="4294967294" count="1">
            <x v="2"/>
          </reference>
          <reference field="0" count="1" selected="0">
            <x v="1"/>
          </reference>
        </references>
      </pivotArea>
    </format>
    <format dxfId="2">
      <pivotArea collapsedLevelsAreSubtotals="1" fieldPosition="0">
        <references count="2">
          <reference field="4294967294" count="1">
            <x v="3"/>
          </reference>
          <reference field="0" count="1" selected="0">
            <x v="0"/>
          </reference>
        </references>
      </pivotArea>
    </format>
    <format dxfId="1">
      <pivotArea collapsedLevelsAreSubtotals="1" fieldPosition="0">
        <references count="2">
          <reference field="4294967294" count="1">
            <x v="3"/>
          </reference>
          <reference field="0" count="1" selected="0">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E6DE3B-18F3-4696-95B2-3E719B27F9A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3:G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78F9A0-C96C-40FB-8ADA-CDF9C9176E1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26DD82C-25A1-4FA4-A8E0-7875EF694A4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74C853C-035D-47ED-912E-C5BA9FA69796}" sourceName="[Staff].[Country]">
  <pivotTables>
    <pivotTable tabId="5" name="PivotTable1"/>
  </pivotTables>
  <data>
    <olap pivotCacheId="185800991">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798B885-8768-4547-8F4A-FF13AED08D45}" cache="Slicer_Country" caption="Country"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B2C61D-43FA-4335-8A62-3D505FF7D7BF}" name="Staff" displayName="Staff" ref="A1:K184" tableType="queryTable" totalsRowShown="0">
  <autoFilter ref="A1:K184" xr:uid="{C1B2C61D-43FA-4335-8A62-3D505FF7D7BF}"/>
  <sortState xmlns:xlrd2="http://schemas.microsoft.com/office/spreadsheetml/2017/richdata2" ref="A2:J184">
    <sortCondition ref="G1:G184"/>
  </sortState>
  <tableColumns count="11">
    <tableColumn id="1" xr3:uid="{0DEE3699-57CA-48C9-86A7-04D42ACD5186}" uniqueName="1" name="Name" queryTableFieldId="1" dataDxfId="19"/>
    <tableColumn id="2" xr3:uid="{3C7B4A33-8D89-4FC2-A3DC-09705314F77E}" uniqueName="2" name="Gender" queryTableFieldId="2" dataDxfId="18"/>
    <tableColumn id="3" xr3:uid="{394F1079-E23F-4C84-A3A6-D54D00C2A002}" uniqueName="3" name="Age" queryTableFieldId="3"/>
    <tableColumn id="4" xr3:uid="{2C701A3E-93EC-48B3-B0F8-24C2DFE3BE71}" uniqueName="4" name="Rating" queryTableFieldId="4"/>
    <tableColumn id="5" xr3:uid="{578CFDC0-B0C6-4D9B-9816-B5CEB959EA8E}" uniqueName="5" name="Date Joined" queryTableFieldId="5" dataDxfId="17"/>
    <tableColumn id="6" xr3:uid="{3191F8CC-6A39-473F-AB79-7C32BBE0C9F7}" uniqueName="6" name="Department" queryTableFieldId="6" dataDxfId="16"/>
    <tableColumn id="7" xr3:uid="{EA3E3245-9FF2-4309-8A70-3ADAF1E14672}" uniqueName="7" name="Salary" queryTableFieldId="7" dataDxfId="15"/>
    <tableColumn id="8" xr3:uid="{16A4BB36-1B73-4BAE-98C7-189600CDC99B}" uniqueName="8" name="Country" queryTableFieldId="8"/>
    <tableColumn id="9" xr3:uid="{27B51623-FF14-4307-A5EF-3E5AC69E94D8}" uniqueName="9" name="Tenure" queryTableFieldId="9" dataDxfId="14">
      <calculatedColumnFormula>(TODAY() - Staff[[#This Row],[Date Joined]]) / 365</calculatedColumnFormula>
    </tableColumn>
    <tableColumn id="10" xr3:uid="{0F67B520-9464-47A0-9CF0-6AFAAEF17C4B}" uniqueName="10" name="Bonus" queryTableFieldId="10" dataDxfId="13"/>
    <tableColumn id="11" xr3:uid="{1E891C9A-72C1-48E5-9E1C-EE4FA97DC900}" uniqueName="11" name="Rating as Number" queryTableFieldId="11" dataDxfId="12">
      <calculatedColumnFormula>_xlfn.XLOOKUP(Staff[[#This Row],[Rating]], Mapping!C$3:C$7, Mapping!D$3:D$7)</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9839A8-D736-4CF8-9F66-4672D47545BE}" name="India_staff" displayName="India_staff" ref="B2:H115" totalsRowCount="1">
  <autoFilter ref="B2:H114" xr:uid="{179839A8-D736-4CF8-9F66-4672D47545BE}"/>
  <tableColumns count="7">
    <tableColumn id="1" xr3:uid="{5C8CF093-BAD7-4CAF-BCCC-03E7491B9319}" name="Name" totalsRowLabel="Total"/>
    <tableColumn id="2" xr3:uid="{6EEEEF29-F2B9-473F-A250-47A2F189F141}" name="Gender"/>
    <tableColumn id="3" xr3:uid="{B0DFB44D-EDDA-45FE-BFA0-47FE8B061991}" name="Age" totalsRowFunction="average"/>
    <tableColumn id="4" xr3:uid="{DCC0348B-6F20-41BE-BF61-5A402DAC0727}" name="Rating"/>
    <tableColumn id="5" xr3:uid="{69E47DB5-DEBF-40BC-824C-55BF120C1A5D}" name="Date Joined" dataDxfId="11"/>
    <tableColumn id="6" xr3:uid="{E5B0BC1B-E0DA-40D3-A18E-5BA1E50B42BB}" name="Department"/>
    <tableColumn id="7" xr3:uid="{BA4B462A-2BDC-4947-B6FF-9D9B00D8C98D}" name="Salary" totalsRowFunction="sum" totalsRowDxfId="1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67605-2161-4417-A9E4-417D47ABAFB8}" name="NZ_staff" displayName="NZ_staff" ref="C5:I106" totalsRowCount="1">
  <autoFilter ref="C5:I105" xr:uid="{B8D67605-2161-4417-A9E4-417D47ABAFB8}"/>
  <tableColumns count="7">
    <tableColumn id="1" xr3:uid="{B8CAA1FA-99B7-4793-99D8-A9CB1147A5B3}" name="Name" totalsRowLabel="Total"/>
    <tableColumn id="2" xr3:uid="{73F9E82A-712B-469A-B442-00CC568E2BF5}" name="Gender"/>
    <tableColumn id="3" xr3:uid="{CA992611-D122-481D-A22E-E9D187C57375}" name="Department"/>
    <tableColumn id="4" xr3:uid="{D7942626-C1FB-4050-B559-8C2AB5A1FE07}" name="Age" totalsRowFunction="average"/>
    <tableColumn id="5" xr3:uid="{3FCF9F25-4173-4DD5-88AE-6CB99D94AEB8}" name="Date Joined" dataDxfId="9"/>
    <tableColumn id="6" xr3:uid="{508E5643-5500-46BA-9381-C7BF2CA1AD8F}" name="Salary" totalsRowFunction="average" totalsRowDxfId="8"/>
    <tableColumn id="7" xr3:uid="{5B94CD29-230B-498D-B575-1E7378194F90}" name="Rating" totalsRowFunction="count"/>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1C3B-450C-470B-95DC-B2F16C4C57C2}">
  <dimension ref="A1:O184"/>
  <sheetViews>
    <sheetView tabSelected="1" zoomScaleNormal="100" workbookViewId="0">
      <selection activeCell="I2" sqref="I2"/>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1.88671875" style="7" bestFit="1" customWidth="1"/>
    <col min="8" max="8" width="10" bestFit="1" customWidth="1"/>
    <col min="9" max="9" width="9.109375" bestFit="1" customWidth="1"/>
    <col min="10" max="10" width="9.44140625" bestFit="1" customWidth="1"/>
    <col min="11" max="11" width="18.21875" bestFit="1" customWidth="1"/>
    <col min="12" max="13" width="8.77734375" customWidth="1"/>
    <col min="14" max="15" width="18.5546875" bestFit="1" customWidth="1"/>
  </cols>
  <sheetData>
    <row r="1" spans="1:15" x14ac:dyDescent="0.3">
      <c r="A1" t="s">
        <v>0</v>
      </c>
      <c r="B1" t="s">
        <v>1</v>
      </c>
      <c r="C1" t="s">
        <v>3</v>
      </c>
      <c r="D1" t="s">
        <v>6</v>
      </c>
      <c r="E1" t="s">
        <v>4</v>
      </c>
      <c r="F1" t="s">
        <v>2</v>
      </c>
      <c r="G1" s="16" t="s">
        <v>5</v>
      </c>
      <c r="H1" t="s">
        <v>204</v>
      </c>
      <c r="I1" t="s">
        <v>213</v>
      </c>
      <c r="J1" s="8" t="s">
        <v>223</v>
      </c>
      <c r="K1" t="s">
        <v>226</v>
      </c>
    </row>
    <row r="2" spans="1:15" x14ac:dyDescent="0.3">
      <c r="A2" t="s">
        <v>179</v>
      </c>
      <c r="B2" t="s">
        <v>8</v>
      </c>
      <c r="C2">
        <v>21</v>
      </c>
      <c r="D2" t="s">
        <v>16</v>
      </c>
      <c r="E2" s="6">
        <v>44619</v>
      </c>
      <c r="F2" t="s">
        <v>12</v>
      </c>
      <c r="G2" s="7">
        <v>33920</v>
      </c>
      <c r="H2" t="s">
        <v>205</v>
      </c>
      <c r="I2" s="8">
        <f ca="1">(TODAY() - Staff[[#This Row],[Date Joined]]) / 365</f>
        <v>1.6904109589041096</v>
      </c>
      <c r="J2" s="7">
        <f ca="1">IF(Staff[[#This Row],[Tenure]]&gt;2, 3%, 2%) * Staff[[#This Row],[Salary]]</f>
        <v>678.4</v>
      </c>
      <c r="K2">
        <f>_xlfn.XLOOKUP(Staff[[#This Row],[Rating]], Mapping!C$3:C$7, Mapping!D$3:D$7)</f>
        <v>3</v>
      </c>
      <c r="L2" s="8"/>
    </row>
    <row r="3" spans="1:15" x14ac:dyDescent="0.3">
      <c r="A3" t="s">
        <v>86</v>
      </c>
      <c r="B3" t="s">
        <v>8</v>
      </c>
      <c r="C3">
        <v>21</v>
      </c>
      <c r="D3" t="s">
        <v>16</v>
      </c>
      <c r="E3" s="6">
        <v>44678</v>
      </c>
      <c r="F3" t="s">
        <v>12</v>
      </c>
      <c r="G3" s="7">
        <v>33920</v>
      </c>
      <c r="H3" t="s">
        <v>207</v>
      </c>
      <c r="I3" s="8">
        <f ca="1">(TODAY() - Staff[[#This Row],[Date Joined]]) / 365</f>
        <v>1.5287671232876712</v>
      </c>
      <c r="J3" s="7">
        <f ca="1">IF(Staff[[#This Row],[Tenure]]&gt;2, 3%, 2%) * Staff[[#This Row],[Salary]]</f>
        <v>678.4</v>
      </c>
      <c r="K3">
        <f>_xlfn.XLOOKUP(Staff[[#This Row],[Rating]], Mapping!C$3:C$7, Mapping!D$3:D$7)</f>
        <v>3</v>
      </c>
      <c r="L3" s="8"/>
      <c r="M3" s="11">
        <v>1</v>
      </c>
    </row>
    <row r="4" spans="1:15" x14ac:dyDescent="0.3">
      <c r="A4" t="s">
        <v>137</v>
      </c>
      <c r="B4" t="s">
        <v>8</v>
      </c>
      <c r="C4">
        <v>29</v>
      </c>
      <c r="D4" t="s">
        <v>16</v>
      </c>
      <c r="E4" s="6">
        <v>43962</v>
      </c>
      <c r="F4" t="s">
        <v>12</v>
      </c>
      <c r="G4" s="7">
        <v>34980</v>
      </c>
      <c r="H4" t="s">
        <v>205</v>
      </c>
      <c r="I4" s="8">
        <f ca="1">(TODAY() - Staff[[#This Row],[Date Joined]]) / 365</f>
        <v>3.4904109589041097</v>
      </c>
      <c r="J4" s="7">
        <f ca="1">IF(Staff[[#This Row],[Tenure]]&gt;2, 3%, 2%) * Staff[[#This Row],[Salary]]</f>
        <v>1049.3999999999999</v>
      </c>
      <c r="K4">
        <f>_xlfn.XLOOKUP(Staff[[#This Row],[Rating]], Mapping!C$3:C$7, Mapping!D$3:D$7)</f>
        <v>3</v>
      </c>
      <c r="L4" s="8"/>
      <c r="N4" t="s">
        <v>211</v>
      </c>
      <c r="O4">
        <f>COUNTA(Staff[Name])</f>
        <v>183</v>
      </c>
    </row>
    <row r="5" spans="1:15" x14ac:dyDescent="0.3">
      <c r="A5" t="s">
        <v>44</v>
      </c>
      <c r="B5" t="s">
        <v>8</v>
      </c>
      <c r="C5">
        <v>29</v>
      </c>
      <c r="D5" t="s">
        <v>16</v>
      </c>
      <c r="E5" s="6">
        <v>44023</v>
      </c>
      <c r="F5" t="s">
        <v>12</v>
      </c>
      <c r="G5" s="7">
        <v>34980</v>
      </c>
      <c r="H5" t="s">
        <v>207</v>
      </c>
      <c r="I5" s="8">
        <f ca="1">(TODAY() - Staff[[#This Row],[Date Joined]]) / 365</f>
        <v>3.3232876712328765</v>
      </c>
      <c r="J5" s="7">
        <f ca="1">IF(Staff[[#This Row],[Tenure]]&gt;2, 3%, 2%) * Staff[[#This Row],[Salary]]</f>
        <v>1049.3999999999999</v>
      </c>
      <c r="K5">
        <f>_xlfn.XLOOKUP(Staff[[#This Row],[Rating]], Mapping!C$3:C$7, Mapping!D$3:D$7)</f>
        <v>3</v>
      </c>
      <c r="L5" s="8"/>
      <c r="N5" t="s">
        <v>208</v>
      </c>
      <c r="O5" s="7">
        <f>AVERAGE(Staff[Salary])</f>
        <v>77173.715846994543</v>
      </c>
    </row>
    <row r="6" spans="1:15" x14ac:dyDescent="0.3">
      <c r="A6" t="s">
        <v>192</v>
      </c>
      <c r="B6" t="s">
        <v>15</v>
      </c>
      <c r="C6">
        <v>43</v>
      </c>
      <c r="D6" t="s">
        <v>16</v>
      </c>
      <c r="E6" s="6">
        <v>44558</v>
      </c>
      <c r="F6" t="s">
        <v>19</v>
      </c>
      <c r="G6" s="7">
        <v>36040</v>
      </c>
      <c r="H6" t="s">
        <v>205</v>
      </c>
      <c r="I6" s="8">
        <f ca="1">(TODAY() - Staff[[#This Row],[Date Joined]]) / 365</f>
        <v>1.8575342465753424</v>
      </c>
      <c r="J6" s="7">
        <f ca="1">IF(Staff[[#This Row],[Tenure]]&gt;2, 3%, 2%) * Staff[[#This Row],[Salary]]</f>
        <v>720.80000000000007</v>
      </c>
      <c r="K6">
        <f>_xlfn.XLOOKUP(Staff[[#This Row],[Rating]], Mapping!C$3:C$7, Mapping!D$3:D$7)</f>
        <v>3</v>
      </c>
      <c r="L6" s="8"/>
      <c r="N6" t="s">
        <v>210</v>
      </c>
      <c r="O6" s="8">
        <f>AVERAGE(Staff[Age])</f>
        <v>30.42622950819672</v>
      </c>
    </row>
    <row r="7" spans="1:15" x14ac:dyDescent="0.3">
      <c r="A7" t="s">
        <v>99</v>
      </c>
      <c r="B7" t="s">
        <v>15</v>
      </c>
      <c r="C7">
        <v>43</v>
      </c>
      <c r="D7" t="s">
        <v>16</v>
      </c>
      <c r="E7" s="6">
        <v>44620</v>
      </c>
      <c r="F7" t="s">
        <v>19</v>
      </c>
      <c r="G7" s="7">
        <v>36040</v>
      </c>
      <c r="H7" t="s">
        <v>207</v>
      </c>
      <c r="I7" s="8">
        <f ca="1">(TODAY() - Staff[[#This Row],[Date Joined]]) / 365</f>
        <v>1.6876712328767123</v>
      </c>
      <c r="J7" s="7">
        <f ca="1">IF(Staff[[#This Row],[Tenure]]&gt;2, 3%, 2%) * Staff[[#This Row],[Salary]]</f>
        <v>720.80000000000007</v>
      </c>
      <c r="K7">
        <f>_xlfn.XLOOKUP(Staff[[#This Row],[Rating]], Mapping!C$3:C$7, Mapping!D$3:D$7)</f>
        <v>3</v>
      </c>
      <c r="L7" s="8"/>
      <c r="N7" t="s">
        <v>209</v>
      </c>
      <c r="O7" s="9">
        <f ca="1">AVERAGE(Staff[Tenure])</f>
        <v>2.1999101729171349</v>
      </c>
    </row>
    <row r="8" spans="1:15" x14ac:dyDescent="0.3">
      <c r="A8" t="s">
        <v>140</v>
      </c>
      <c r="B8" t="s">
        <v>15</v>
      </c>
      <c r="C8">
        <v>21</v>
      </c>
      <c r="D8" t="s">
        <v>16</v>
      </c>
      <c r="E8" s="6">
        <v>44042</v>
      </c>
      <c r="F8" t="s">
        <v>9</v>
      </c>
      <c r="G8" s="7">
        <v>37920</v>
      </c>
      <c r="H8" t="s">
        <v>205</v>
      </c>
      <c r="I8" s="8">
        <f ca="1">(TODAY() - Staff[[#This Row],[Date Joined]]) / 365</f>
        <v>3.2712328767123289</v>
      </c>
      <c r="J8" s="7">
        <f ca="1">IF(Staff[[#This Row],[Tenure]]&gt;2, 3%, 2%) * Staff[[#This Row],[Salary]]</f>
        <v>1137.5999999999999</v>
      </c>
      <c r="K8">
        <f>_xlfn.XLOOKUP(Staff[[#This Row],[Rating]], Mapping!C$3:C$7, Mapping!D$3:D$7)</f>
        <v>3</v>
      </c>
      <c r="L8" s="8"/>
      <c r="N8" t="s">
        <v>212</v>
      </c>
      <c r="O8" s="10">
        <f>O9/O4</f>
        <v>0.46994535519125685</v>
      </c>
    </row>
    <row r="9" spans="1:15" x14ac:dyDescent="0.3">
      <c r="A9" t="s">
        <v>47</v>
      </c>
      <c r="B9" t="s">
        <v>15</v>
      </c>
      <c r="C9">
        <v>21</v>
      </c>
      <c r="D9" t="s">
        <v>16</v>
      </c>
      <c r="E9" s="6">
        <v>44104</v>
      </c>
      <c r="F9" t="s">
        <v>9</v>
      </c>
      <c r="G9" s="7">
        <v>37920</v>
      </c>
      <c r="H9" t="s">
        <v>207</v>
      </c>
      <c r="I9" s="8">
        <f ca="1">(TODAY() - Staff[[#This Row],[Date Joined]]) / 365</f>
        <v>3.1013698630136988</v>
      </c>
      <c r="J9" s="7">
        <f ca="1">IF(Staff[[#This Row],[Tenure]]&gt;2, 3%, 2%) * Staff[[#This Row],[Salary]]</f>
        <v>1137.5999999999999</v>
      </c>
      <c r="K9">
        <f>_xlfn.XLOOKUP(Staff[[#This Row],[Rating]], Mapping!C$3:C$7, Mapping!D$3:D$7)</f>
        <v>3</v>
      </c>
      <c r="L9" s="8"/>
      <c r="N9" t="s">
        <v>214</v>
      </c>
      <c r="O9">
        <f>COUNTIFS(Staff[Gender], "Female")</f>
        <v>86</v>
      </c>
    </row>
    <row r="10" spans="1:15" x14ac:dyDescent="0.3">
      <c r="A10" t="s">
        <v>149</v>
      </c>
      <c r="B10" t="s">
        <v>15</v>
      </c>
      <c r="C10">
        <v>35</v>
      </c>
      <c r="D10" t="s">
        <v>16</v>
      </c>
      <c r="E10" s="6">
        <v>44666</v>
      </c>
      <c r="F10" t="s">
        <v>9</v>
      </c>
      <c r="G10" s="7">
        <v>40400</v>
      </c>
      <c r="H10" t="s">
        <v>205</v>
      </c>
      <c r="I10" s="8">
        <f ca="1">(TODAY() - Staff[[#This Row],[Date Joined]]) / 365</f>
        <v>1.5616438356164384</v>
      </c>
      <c r="J10" s="7">
        <f ca="1">IF(Staff[[#This Row],[Tenure]]&gt;2, 3%, 2%) * Staff[[#This Row],[Salary]]</f>
        <v>808</v>
      </c>
      <c r="K10">
        <f>_xlfn.XLOOKUP(Staff[[#This Row],[Rating]], Mapping!C$3:C$7, Mapping!D$3:D$7)</f>
        <v>3</v>
      </c>
      <c r="L10" s="8"/>
    </row>
    <row r="11" spans="1:15" x14ac:dyDescent="0.3">
      <c r="A11" t="s">
        <v>57</v>
      </c>
      <c r="B11" t="s">
        <v>15</v>
      </c>
      <c r="C11">
        <v>35</v>
      </c>
      <c r="D11" t="s">
        <v>16</v>
      </c>
      <c r="E11" s="6">
        <v>44727</v>
      </c>
      <c r="F11" t="s">
        <v>9</v>
      </c>
      <c r="G11" s="7">
        <v>40400</v>
      </c>
      <c r="H11" t="s">
        <v>207</v>
      </c>
      <c r="I11" s="8">
        <f ca="1">(TODAY() - Staff[[#This Row],[Date Joined]]) / 365</f>
        <v>1.3945205479452054</v>
      </c>
      <c r="J11" s="7">
        <f ca="1">IF(Staff[[#This Row],[Tenure]]&gt;2, 3%, 2%) * Staff[[#This Row],[Salary]]</f>
        <v>808</v>
      </c>
      <c r="K11">
        <f>_xlfn.XLOOKUP(Staff[[#This Row],[Rating]], Mapping!C$3:C$7, Mapping!D$3:D$7)</f>
        <v>3</v>
      </c>
      <c r="L11" s="8"/>
      <c r="M11" s="11">
        <v>2</v>
      </c>
    </row>
    <row r="12" spans="1:15" x14ac:dyDescent="0.3">
      <c r="A12" t="s">
        <v>158</v>
      </c>
      <c r="B12" t="s">
        <v>8</v>
      </c>
      <c r="C12">
        <v>32</v>
      </c>
      <c r="D12" t="s">
        <v>16</v>
      </c>
      <c r="E12" s="6">
        <v>44549</v>
      </c>
      <c r="F12" t="s">
        <v>9</v>
      </c>
      <c r="G12" s="7">
        <v>41570</v>
      </c>
      <c r="H12" t="s">
        <v>205</v>
      </c>
      <c r="I12" s="8">
        <f ca="1">(TODAY() - Staff[[#This Row],[Date Joined]]) / 365</f>
        <v>1.8821917808219177</v>
      </c>
      <c r="J12" s="7">
        <f ca="1">IF(Staff[[#This Row],[Tenure]]&gt;2, 3%, 2%) * Staff[[#This Row],[Salary]]</f>
        <v>831.4</v>
      </c>
      <c r="K12">
        <f>_xlfn.XLOOKUP(Staff[[#This Row],[Rating]], Mapping!C$3:C$7, Mapping!D$3:D$7)</f>
        <v>3</v>
      </c>
      <c r="L12" s="8"/>
      <c r="N12" s="12" t="s">
        <v>143</v>
      </c>
    </row>
    <row r="13" spans="1:15" x14ac:dyDescent="0.3">
      <c r="A13" t="s">
        <v>66</v>
      </c>
      <c r="B13" t="s">
        <v>8</v>
      </c>
      <c r="C13">
        <v>32</v>
      </c>
      <c r="D13" t="s">
        <v>16</v>
      </c>
      <c r="E13" s="6">
        <v>44611</v>
      </c>
      <c r="F13" t="s">
        <v>9</v>
      </c>
      <c r="G13" s="7">
        <v>41570</v>
      </c>
      <c r="H13" t="s">
        <v>207</v>
      </c>
      <c r="I13" s="8">
        <f ca="1">(TODAY() - Staff[[#This Row],[Date Joined]]) / 365</f>
        <v>1.7123287671232876</v>
      </c>
      <c r="J13" s="7">
        <f ca="1">IF(Staff[[#This Row],[Tenure]]&gt;2, 3%, 2%) * Staff[[#This Row],[Salary]]</f>
        <v>831.4</v>
      </c>
      <c r="K13">
        <f>_xlfn.XLOOKUP(Staff[[#This Row],[Rating]], Mapping!C$3:C$7, Mapping!D$3:D$7)</f>
        <v>3</v>
      </c>
      <c r="L13" s="8"/>
    </row>
    <row r="14" spans="1:15" x14ac:dyDescent="0.3">
      <c r="A14" t="s">
        <v>124</v>
      </c>
      <c r="B14" t="s">
        <v>8</v>
      </c>
      <c r="C14">
        <v>31</v>
      </c>
      <c r="D14" t="s">
        <v>16</v>
      </c>
      <c r="E14" s="6">
        <v>44084</v>
      </c>
      <c r="F14" t="s">
        <v>12</v>
      </c>
      <c r="G14" s="7">
        <v>41980</v>
      </c>
      <c r="H14" t="s">
        <v>205</v>
      </c>
      <c r="I14" s="8">
        <f ca="1">(TODAY() - Staff[[#This Row],[Date Joined]]) / 365</f>
        <v>3.1561643835616437</v>
      </c>
      <c r="J14" s="7">
        <f ca="1">IF(Staff[[#This Row],[Tenure]]&gt;2, 3%, 2%) * Staff[[#This Row],[Salary]]</f>
        <v>1259.3999999999999</v>
      </c>
      <c r="K14">
        <f>_xlfn.XLOOKUP(Staff[[#This Row],[Rating]], Mapping!C$3:C$7, Mapping!D$3:D$7)</f>
        <v>3</v>
      </c>
      <c r="L14" s="8"/>
      <c r="N14" s="21" t="s">
        <v>1</v>
      </c>
      <c r="O14" s="20" t="str" cm="1">
        <f t="array" aca="1" ref="O14:O21" ca="1">TRANSPOSE(_xlfn.XLOOKUP(N12,Staff[Name],Staff[[Gender]:[Tenure]]))</f>
        <v>Male</v>
      </c>
    </row>
    <row r="15" spans="1:15" x14ac:dyDescent="0.3">
      <c r="A15" t="s">
        <v>30</v>
      </c>
      <c r="B15" t="s">
        <v>8</v>
      </c>
      <c r="C15">
        <v>31</v>
      </c>
      <c r="D15" t="s">
        <v>16</v>
      </c>
      <c r="E15" s="6">
        <v>44145</v>
      </c>
      <c r="F15" t="s">
        <v>12</v>
      </c>
      <c r="G15" s="7">
        <v>41980</v>
      </c>
      <c r="H15" t="s">
        <v>207</v>
      </c>
      <c r="I15" s="8">
        <f ca="1">(TODAY() - Staff[[#This Row],[Date Joined]]) / 365</f>
        <v>2.989041095890411</v>
      </c>
      <c r="J15" s="7">
        <f ca="1">IF(Staff[[#This Row],[Tenure]]&gt;2, 3%, 2%) * Staff[[#This Row],[Salary]]</f>
        <v>1259.3999999999999</v>
      </c>
      <c r="K15">
        <f>_xlfn.XLOOKUP(Staff[[#This Row],[Rating]], Mapping!C$3:C$7, Mapping!D$3:D$7)</f>
        <v>3</v>
      </c>
      <c r="L15" s="8"/>
      <c r="N15" s="21" t="s">
        <v>3</v>
      </c>
      <c r="O15" s="20">
        <f ca="1"/>
        <v>31</v>
      </c>
    </row>
    <row r="16" spans="1:15" x14ac:dyDescent="0.3">
      <c r="A16" t="s">
        <v>172</v>
      </c>
      <c r="B16" t="s">
        <v>15</v>
      </c>
      <c r="C16">
        <v>28</v>
      </c>
      <c r="D16" t="s">
        <v>42</v>
      </c>
      <c r="E16" s="6">
        <v>44758</v>
      </c>
      <c r="F16" t="s">
        <v>19</v>
      </c>
      <c r="G16" s="7">
        <v>43510</v>
      </c>
      <c r="H16" t="s">
        <v>205</v>
      </c>
      <c r="I16" s="8">
        <f ca="1">(TODAY() - Staff[[#This Row],[Date Joined]]) / 365</f>
        <v>1.3095890410958904</v>
      </c>
      <c r="J16" s="7">
        <f ca="1">IF(Staff[[#This Row],[Tenure]]&gt;2, 3%, 2%) * Staff[[#This Row],[Salary]]</f>
        <v>870.2</v>
      </c>
      <c r="K16">
        <f>_xlfn.XLOOKUP(Staff[[#This Row],[Rating]], Mapping!C$3:C$7, Mapping!D$3:D$7)</f>
        <v>1</v>
      </c>
      <c r="L16" s="8"/>
      <c r="N16" s="21" t="s">
        <v>6</v>
      </c>
      <c r="O16" s="20" t="str">
        <f ca="1"/>
        <v>Average</v>
      </c>
    </row>
    <row r="17" spans="1:15" x14ac:dyDescent="0.3">
      <c r="A17" t="s">
        <v>80</v>
      </c>
      <c r="B17" t="s">
        <v>15</v>
      </c>
      <c r="C17">
        <v>28</v>
      </c>
      <c r="D17" t="s">
        <v>42</v>
      </c>
      <c r="E17" s="6">
        <v>44820</v>
      </c>
      <c r="F17" t="s">
        <v>19</v>
      </c>
      <c r="G17" s="7">
        <v>43510</v>
      </c>
      <c r="H17" t="s">
        <v>207</v>
      </c>
      <c r="I17" s="8">
        <f ca="1">(TODAY() - Staff[[#This Row],[Date Joined]]) / 365</f>
        <v>1.1397260273972603</v>
      </c>
      <c r="J17" s="7">
        <f ca="1">IF(Staff[[#This Row],[Tenure]]&gt;2, 3%, 2%) * Staff[[#This Row],[Salary]]</f>
        <v>870.2</v>
      </c>
      <c r="K17">
        <f>_xlfn.XLOOKUP(Staff[[#This Row],[Rating]], Mapping!C$3:C$7, Mapping!D$3:D$7)</f>
        <v>1</v>
      </c>
      <c r="L17" s="8"/>
      <c r="N17" s="21" t="s">
        <v>215</v>
      </c>
      <c r="O17" s="22">
        <f ca="1"/>
        <v>44663</v>
      </c>
    </row>
    <row r="18" spans="1:15" x14ac:dyDescent="0.3">
      <c r="A18" t="s">
        <v>176</v>
      </c>
      <c r="B18" t="s">
        <v>8</v>
      </c>
      <c r="C18">
        <v>32</v>
      </c>
      <c r="D18" t="s">
        <v>13</v>
      </c>
      <c r="E18" s="6">
        <v>44293</v>
      </c>
      <c r="F18" t="s">
        <v>12</v>
      </c>
      <c r="G18" s="7">
        <v>43840</v>
      </c>
      <c r="H18" t="s">
        <v>205</v>
      </c>
      <c r="I18" s="8">
        <f ca="1">(TODAY() - Staff[[#This Row],[Date Joined]]) / 365</f>
        <v>2.5835616438356164</v>
      </c>
      <c r="J18" s="7">
        <f ca="1">IF(Staff[[#This Row],[Tenure]]&gt;2, 3%, 2%) * Staff[[#This Row],[Salary]]</f>
        <v>1315.2</v>
      </c>
      <c r="K18">
        <f>_xlfn.XLOOKUP(Staff[[#This Row],[Rating]], Mapping!C$3:C$7, Mapping!D$3:D$7)</f>
        <v>4</v>
      </c>
      <c r="L18" s="8"/>
      <c r="N18" s="21" t="s">
        <v>2</v>
      </c>
      <c r="O18" s="20" t="str">
        <f ca="1"/>
        <v>Procurement</v>
      </c>
    </row>
    <row r="19" spans="1:15" x14ac:dyDescent="0.3">
      <c r="A19" t="s">
        <v>84</v>
      </c>
      <c r="B19" t="s">
        <v>8</v>
      </c>
      <c r="C19">
        <v>32</v>
      </c>
      <c r="D19" t="s">
        <v>13</v>
      </c>
      <c r="E19" s="6">
        <v>44354</v>
      </c>
      <c r="F19" t="s">
        <v>12</v>
      </c>
      <c r="G19" s="7">
        <v>43840</v>
      </c>
      <c r="H19" t="s">
        <v>207</v>
      </c>
      <c r="I19" s="8">
        <f ca="1">(TODAY() - Staff[[#This Row],[Date Joined]]) / 365</f>
        <v>2.4164383561643836</v>
      </c>
      <c r="J19" s="7">
        <f ca="1">IF(Staff[[#This Row],[Tenure]]&gt;2, 3%, 2%) * Staff[[#This Row],[Salary]]</f>
        <v>1315.2</v>
      </c>
      <c r="K19">
        <f>_xlfn.XLOOKUP(Staff[[#This Row],[Rating]], Mapping!C$3:C$7, Mapping!D$3:D$7)</f>
        <v>4</v>
      </c>
      <c r="L19" s="8"/>
      <c r="N19" s="21" t="s">
        <v>5</v>
      </c>
      <c r="O19" s="23">
        <f ca="1"/>
        <v>103550</v>
      </c>
    </row>
    <row r="20" spans="1:15" x14ac:dyDescent="0.3">
      <c r="A20" t="s">
        <v>201</v>
      </c>
      <c r="B20" t="s">
        <v>8</v>
      </c>
      <c r="C20">
        <v>32</v>
      </c>
      <c r="D20" t="s">
        <v>16</v>
      </c>
      <c r="E20" s="6">
        <v>44339</v>
      </c>
      <c r="F20" t="s">
        <v>56</v>
      </c>
      <c r="G20" s="7">
        <v>45510</v>
      </c>
      <c r="H20" t="s">
        <v>205</v>
      </c>
      <c r="I20" s="8">
        <f ca="1">(TODAY() - Staff[[#This Row],[Date Joined]]) / 365</f>
        <v>2.4575342465753423</v>
      </c>
      <c r="J20" s="7">
        <f ca="1">IF(Staff[[#This Row],[Tenure]]&gt;2, 3%, 2%) * Staff[[#This Row],[Salary]]</f>
        <v>1365.3</v>
      </c>
      <c r="K20">
        <f>_xlfn.XLOOKUP(Staff[[#This Row],[Rating]], Mapping!C$3:C$7, Mapping!D$3:D$7)</f>
        <v>3</v>
      </c>
      <c r="L20" s="8"/>
      <c r="N20" s="21" t="s">
        <v>204</v>
      </c>
      <c r="O20" s="20" t="str">
        <f ca="1"/>
        <v>IND</v>
      </c>
    </row>
    <row r="21" spans="1:15" x14ac:dyDescent="0.3">
      <c r="A21" t="s">
        <v>108</v>
      </c>
      <c r="B21" t="s">
        <v>8</v>
      </c>
      <c r="C21">
        <v>32</v>
      </c>
      <c r="D21" t="s">
        <v>16</v>
      </c>
      <c r="E21" s="6">
        <v>44400</v>
      </c>
      <c r="F21" t="s">
        <v>56</v>
      </c>
      <c r="G21" s="7">
        <v>45510</v>
      </c>
      <c r="H21" t="s">
        <v>207</v>
      </c>
      <c r="I21" s="8">
        <f ca="1">(TODAY() - Staff[[#This Row],[Date Joined]]) / 365</f>
        <v>2.2904109589041095</v>
      </c>
      <c r="J21" s="7">
        <f ca="1">IF(Staff[[#This Row],[Tenure]]&gt;2, 3%, 2%) * Staff[[#This Row],[Salary]]</f>
        <v>1365.3</v>
      </c>
      <c r="K21">
        <f>_xlfn.XLOOKUP(Staff[[#This Row],[Rating]], Mapping!C$3:C$7, Mapping!D$3:D$7)</f>
        <v>3</v>
      </c>
      <c r="L21" s="8"/>
      <c r="N21" s="21" t="s">
        <v>213</v>
      </c>
      <c r="O21" s="24">
        <f ca="1"/>
        <v>1.5698630136986302</v>
      </c>
    </row>
    <row r="22" spans="1:15" x14ac:dyDescent="0.3">
      <c r="A22" t="s">
        <v>151</v>
      </c>
      <c r="B22" t="s">
        <v>15</v>
      </c>
      <c r="C22">
        <v>26</v>
      </c>
      <c r="D22" t="s">
        <v>16</v>
      </c>
      <c r="E22" s="6">
        <v>44164</v>
      </c>
      <c r="F22" t="s">
        <v>9</v>
      </c>
      <c r="G22" s="7">
        <v>47360</v>
      </c>
      <c r="H22" t="s">
        <v>205</v>
      </c>
      <c r="I22" s="8">
        <f ca="1">(TODAY() - Staff[[#This Row],[Date Joined]]) / 365</f>
        <v>2.9369863013698629</v>
      </c>
      <c r="J22" s="7">
        <f ca="1">IF(Staff[[#This Row],[Tenure]]&gt;2, 3%, 2%) * Staff[[#This Row],[Salary]]</f>
        <v>1420.8</v>
      </c>
      <c r="K22">
        <f>_xlfn.XLOOKUP(Staff[[#This Row],[Rating]], Mapping!C$3:C$7, Mapping!D$3:D$7)</f>
        <v>3</v>
      </c>
      <c r="L22" s="8"/>
      <c r="N22" s="13"/>
      <c r="O22" s="13"/>
    </row>
    <row r="23" spans="1:15" x14ac:dyDescent="0.3">
      <c r="A23" t="s">
        <v>59</v>
      </c>
      <c r="B23" t="s">
        <v>15</v>
      </c>
      <c r="C23">
        <v>26</v>
      </c>
      <c r="D23" t="s">
        <v>16</v>
      </c>
      <c r="E23" s="6">
        <v>44225</v>
      </c>
      <c r="F23" t="s">
        <v>9</v>
      </c>
      <c r="G23" s="7">
        <v>47360</v>
      </c>
      <c r="H23" t="s">
        <v>207</v>
      </c>
      <c r="I23" s="8">
        <f ca="1">(TODAY() - Staff[[#This Row],[Date Joined]]) / 365</f>
        <v>2.7698630136986302</v>
      </c>
      <c r="J23" s="7">
        <f ca="1">IF(Staff[[#This Row],[Tenure]]&gt;2, 3%, 2%) * Staff[[#This Row],[Salary]]</f>
        <v>1420.8</v>
      </c>
      <c r="K23">
        <f>_xlfn.XLOOKUP(Staff[[#This Row],[Rating]], Mapping!C$3:C$7, Mapping!D$3:D$7)</f>
        <v>3</v>
      </c>
      <c r="L23" s="8"/>
    </row>
    <row r="24" spans="1:15" x14ac:dyDescent="0.3">
      <c r="A24" t="s">
        <v>123</v>
      </c>
      <c r="B24" t="s">
        <v>15</v>
      </c>
      <c r="C24">
        <v>28</v>
      </c>
      <c r="D24" t="s">
        <v>13</v>
      </c>
      <c r="E24" s="6">
        <v>43980</v>
      </c>
      <c r="F24" t="s">
        <v>21</v>
      </c>
      <c r="G24" s="7">
        <v>48170</v>
      </c>
      <c r="H24" t="s">
        <v>205</v>
      </c>
      <c r="I24" s="8">
        <f ca="1">(TODAY() - Staff[[#This Row],[Date Joined]]) / 365</f>
        <v>3.441095890410959</v>
      </c>
      <c r="J24" s="7">
        <f ca="1">IF(Staff[[#This Row],[Tenure]]&gt;2, 3%, 2%) * Staff[[#This Row],[Salary]]</f>
        <v>1445.1</v>
      </c>
      <c r="K24">
        <f>_xlfn.XLOOKUP(Staff[[#This Row],[Rating]], Mapping!C$3:C$7, Mapping!D$3:D$7)</f>
        <v>4</v>
      </c>
      <c r="L24" s="8"/>
    </row>
    <row r="25" spans="1:15" x14ac:dyDescent="0.3">
      <c r="A25" t="s">
        <v>29</v>
      </c>
      <c r="B25" t="s">
        <v>15</v>
      </c>
      <c r="C25">
        <v>28</v>
      </c>
      <c r="D25" t="s">
        <v>13</v>
      </c>
      <c r="E25" s="6">
        <v>44041</v>
      </c>
      <c r="F25" t="s">
        <v>21</v>
      </c>
      <c r="G25" s="7">
        <v>48170</v>
      </c>
      <c r="H25" t="s">
        <v>207</v>
      </c>
      <c r="I25" s="8">
        <f ca="1">(TODAY() - Staff[[#This Row],[Date Joined]]) / 365</f>
        <v>3.2739726027397262</v>
      </c>
      <c r="J25" s="7">
        <f ca="1">IF(Staff[[#This Row],[Tenure]]&gt;2, 3%, 2%) * Staff[[#This Row],[Salary]]</f>
        <v>1445.1</v>
      </c>
      <c r="K25">
        <f>_xlfn.XLOOKUP(Staff[[#This Row],[Rating]], Mapping!C$3:C$7, Mapping!D$3:D$7)</f>
        <v>4</v>
      </c>
      <c r="L25" s="8"/>
    </row>
    <row r="26" spans="1:15" x14ac:dyDescent="0.3">
      <c r="A26" t="s">
        <v>144</v>
      </c>
      <c r="B26" t="s">
        <v>15</v>
      </c>
      <c r="C26">
        <v>33</v>
      </c>
      <c r="D26" t="s">
        <v>13</v>
      </c>
      <c r="E26" s="6">
        <v>44640</v>
      </c>
      <c r="F26" t="s">
        <v>9</v>
      </c>
      <c r="G26" s="7">
        <v>48530</v>
      </c>
      <c r="H26" t="s">
        <v>205</v>
      </c>
      <c r="I26" s="8">
        <f ca="1">(TODAY() - Staff[[#This Row],[Date Joined]]) / 365</f>
        <v>1.6328767123287671</v>
      </c>
      <c r="J26" s="7">
        <f ca="1">IF(Staff[[#This Row],[Tenure]]&gt;2, 3%, 2%) * Staff[[#This Row],[Salary]]</f>
        <v>970.6</v>
      </c>
      <c r="K26">
        <f>_xlfn.XLOOKUP(Staff[[#This Row],[Rating]], Mapping!C$3:C$7, Mapping!D$3:D$7)</f>
        <v>4</v>
      </c>
      <c r="L26" s="8"/>
    </row>
    <row r="27" spans="1:15" x14ac:dyDescent="0.3">
      <c r="A27" t="s">
        <v>51</v>
      </c>
      <c r="B27" t="s">
        <v>15</v>
      </c>
      <c r="C27">
        <v>33</v>
      </c>
      <c r="D27" t="s">
        <v>13</v>
      </c>
      <c r="E27" s="6">
        <v>44701</v>
      </c>
      <c r="F27" t="s">
        <v>9</v>
      </c>
      <c r="G27" s="7">
        <v>48530</v>
      </c>
      <c r="H27" t="s">
        <v>207</v>
      </c>
      <c r="I27" s="8">
        <f ca="1">(TODAY() - Staff[[#This Row],[Date Joined]]) / 365</f>
        <v>1.4657534246575343</v>
      </c>
      <c r="J27" s="7">
        <f ca="1">IF(Staff[[#This Row],[Tenure]]&gt;2, 3%, 2%) * Staff[[#This Row],[Salary]]</f>
        <v>970.6</v>
      </c>
      <c r="K27">
        <f>_xlfn.XLOOKUP(Staff[[#This Row],[Rating]], Mapping!C$3:C$7, Mapping!D$3:D$7)</f>
        <v>4</v>
      </c>
      <c r="L27" s="8"/>
    </row>
    <row r="28" spans="1:15" x14ac:dyDescent="0.3">
      <c r="A28" t="s">
        <v>113</v>
      </c>
      <c r="B28" t="s">
        <v>15</v>
      </c>
      <c r="C28">
        <v>31</v>
      </c>
      <c r="D28" t="s">
        <v>16</v>
      </c>
      <c r="E28" s="6">
        <v>44450</v>
      </c>
      <c r="F28" t="s">
        <v>12</v>
      </c>
      <c r="G28" s="7">
        <v>48950</v>
      </c>
      <c r="H28" t="s">
        <v>205</v>
      </c>
      <c r="I28" s="8">
        <f ca="1">(TODAY() - Staff[[#This Row],[Date Joined]]) / 365</f>
        <v>2.1534246575342464</v>
      </c>
      <c r="J28" s="7">
        <f ca="1">IF(Staff[[#This Row],[Tenure]]&gt;2, 3%, 2%) * Staff[[#This Row],[Salary]]</f>
        <v>1468.5</v>
      </c>
      <c r="K28">
        <f>_xlfn.XLOOKUP(Staff[[#This Row],[Rating]], Mapping!C$3:C$7, Mapping!D$3:D$7)</f>
        <v>3</v>
      </c>
      <c r="L28" s="8"/>
    </row>
    <row r="29" spans="1:15" x14ac:dyDescent="0.3">
      <c r="A29" t="s">
        <v>14</v>
      </c>
      <c r="B29" t="s">
        <v>15</v>
      </c>
      <c r="C29">
        <v>31</v>
      </c>
      <c r="D29" t="s">
        <v>16</v>
      </c>
      <c r="E29" s="6">
        <v>44511</v>
      </c>
      <c r="F29" t="s">
        <v>12</v>
      </c>
      <c r="G29" s="7">
        <v>48950</v>
      </c>
      <c r="H29" t="s">
        <v>207</v>
      </c>
      <c r="I29" s="8">
        <f ca="1">(TODAY() - Staff[[#This Row],[Date Joined]]) / 365</f>
        <v>1.9863013698630136</v>
      </c>
      <c r="J29" s="7">
        <f ca="1">IF(Staff[[#This Row],[Tenure]]&gt;2, 3%, 2%) * Staff[[#This Row],[Salary]]</f>
        <v>979</v>
      </c>
      <c r="K29">
        <f>_xlfn.XLOOKUP(Staff[[#This Row],[Rating]], Mapping!C$3:C$7, Mapping!D$3:D$7)</f>
        <v>3</v>
      </c>
      <c r="L29" s="8"/>
    </row>
    <row r="30" spans="1:15" x14ac:dyDescent="0.3">
      <c r="A30" t="s">
        <v>146</v>
      </c>
      <c r="B30" t="s">
        <v>15</v>
      </c>
      <c r="C30">
        <v>27</v>
      </c>
      <c r="D30" t="s">
        <v>16</v>
      </c>
      <c r="E30" s="6">
        <v>44506</v>
      </c>
      <c r="F30" t="s">
        <v>21</v>
      </c>
      <c r="G30" s="7">
        <v>48980</v>
      </c>
      <c r="H30" t="s">
        <v>205</v>
      </c>
      <c r="I30" s="8">
        <f ca="1">(TODAY() - Staff[[#This Row],[Date Joined]]) / 365</f>
        <v>2</v>
      </c>
      <c r="J30" s="7">
        <f ca="1">IF(Staff[[#This Row],[Tenure]]&gt;2, 3%, 2%) * Staff[[#This Row],[Salary]]</f>
        <v>979.6</v>
      </c>
      <c r="K30">
        <f>_xlfn.XLOOKUP(Staff[[#This Row],[Rating]], Mapping!C$3:C$7, Mapping!D$3:D$7)</f>
        <v>3</v>
      </c>
      <c r="L30" s="8"/>
    </row>
    <row r="31" spans="1:15" x14ac:dyDescent="0.3">
      <c r="A31" t="s">
        <v>53</v>
      </c>
      <c r="B31" t="s">
        <v>15</v>
      </c>
      <c r="C31">
        <v>27</v>
      </c>
      <c r="D31" t="s">
        <v>16</v>
      </c>
      <c r="E31" s="6">
        <v>44567</v>
      </c>
      <c r="F31" t="s">
        <v>21</v>
      </c>
      <c r="G31" s="7">
        <v>48980</v>
      </c>
      <c r="H31" t="s">
        <v>207</v>
      </c>
      <c r="I31" s="8">
        <f ca="1">(TODAY() - Staff[[#This Row],[Date Joined]]) / 365</f>
        <v>1.832876712328767</v>
      </c>
      <c r="J31" s="7">
        <f ca="1">IF(Staff[[#This Row],[Tenure]]&gt;2, 3%, 2%) * Staff[[#This Row],[Salary]]</f>
        <v>979.6</v>
      </c>
      <c r="K31">
        <f>_xlfn.XLOOKUP(Staff[[#This Row],[Rating]], Mapping!C$3:C$7, Mapping!D$3:D$7)</f>
        <v>3</v>
      </c>
      <c r="L31" s="8"/>
    </row>
    <row r="32" spans="1:15" x14ac:dyDescent="0.3">
      <c r="A32" t="s">
        <v>165</v>
      </c>
      <c r="B32" t="s">
        <v>8</v>
      </c>
      <c r="C32">
        <v>34</v>
      </c>
      <c r="D32" t="s">
        <v>24</v>
      </c>
      <c r="E32" s="6">
        <v>44660</v>
      </c>
      <c r="F32" t="s">
        <v>19</v>
      </c>
      <c r="G32" s="7">
        <v>49630</v>
      </c>
      <c r="H32" t="s">
        <v>205</v>
      </c>
      <c r="I32" s="8">
        <f ca="1">(TODAY() - Staff[[#This Row],[Date Joined]]) / 365</f>
        <v>1.5780821917808219</v>
      </c>
      <c r="J32" s="7">
        <f ca="1">IF(Staff[[#This Row],[Tenure]]&gt;2, 3%, 2%) * Staff[[#This Row],[Salary]]</f>
        <v>992.6</v>
      </c>
      <c r="K32">
        <f>_xlfn.XLOOKUP(Staff[[#This Row],[Rating]], Mapping!C$3:C$7, Mapping!D$3:D$7)</f>
        <v>2</v>
      </c>
      <c r="L32" s="8"/>
    </row>
    <row r="33" spans="1:12" x14ac:dyDescent="0.3">
      <c r="A33" t="s">
        <v>73</v>
      </c>
      <c r="B33" t="s">
        <v>8</v>
      </c>
      <c r="C33">
        <v>34</v>
      </c>
      <c r="D33" t="s">
        <v>24</v>
      </c>
      <c r="E33" s="6">
        <v>44721</v>
      </c>
      <c r="F33" t="s">
        <v>19</v>
      </c>
      <c r="G33" s="7">
        <v>49630</v>
      </c>
      <c r="H33" t="s">
        <v>207</v>
      </c>
      <c r="I33" s="8">
        <f ca="1">(TODAY() - Staff[[#This Row],[Date Joined]]) / 365</f>
        <v>1.4109589041095891</v>
      </c>
      <c r="J33" s="7">
        <f ca="1">IF(Staff[[#This Row],[Tenure]]&gt;2, 3%, 2%) * Staff[[#This Row],[Salary]]</f>
        <v>992.6</v>
      </c>
      <c r="K33">
        <f>_xlfn.XLOOKUP(Staff[[#This Row],[Rating]], Mapping!C$3:C$7, Mapping!D$3:D$7)</f>
        <v>2</v>
      </c>
      <c r="L33" s="8"/>
    </row>
    <row r="34" spans="1:12" x14ac:dyDescent="0.3">
      <c r="A34" t="s">
        <v>155</v>
      </c>
      <c r="B34" t="s">
        <v>15</v>
      </c>
      <c r="C34">
        <v>24</v>
      </c>
      <c r="D34" t="s">
        <v>24</v>
      </c>
      <c r="E34" s="6">
        <v>44375</v>
      </c>
      <c r="F34" t="s">
        <v>21</v>
      </c>
      <c r="G34" s="7">
        <v>52610</v>
      </c>
      <c r="H34" t="s">
        <v>205</v>
      </c>
      <c r="I34" s="8">
        <f ca="1">(TODAY() - Staff[[#This Row],[Date Joined]]) / 365</f>
        <v>2.3589041095890413</v>
      </c>
      <c r="J34" s="7">
        <f ca="1">IF(Staff[[#This Row],[Tenure]]&gt;2, 3%, 2%) * Staff[[#This Row],[Salary]]</f>
        <v>1578.3</v>
      </c>
      <c r="K34">
        <f>_xlfn.XLOOKUP(Staff[[#This Row],[Rating]], Mapping!C$3:C$7, Mapping!D$3:D$7)</f>
        <v>2</v>
      </c>
      <c r="L34" s="8"/>
    </row>
    <row r="35" spans="1:12" x14ac:dyDescent="0.3">
      <c r="A35" t="s">
        <v>63</v>
      </c>
      <c r="B35" t="s">
        <v>15</v>
      </c>
      <c r="C35">
        <v>24</v>
      </c>
      <c r="D35" t="s">
        <v>24</v>
      </c>
      <c r="E35" s="6">
        <v>44436</v>
      </c>
      <c r="F35" t="s">
        <v>21</v>
      </c>
      <c r="G35" s="7">
        <v>52610</v>
      </c>
      <c r="H35" t="s">
        <v>207</v>
      </c>
      <c r="I35" s="8">
        <f ca="1">(TODAY() - Staff[[#This Row],[Date Joined]]) / 365</f>
        <v>2.1917808219178081</v>
      </c>
      <c r="J35" s="7">
        <f ca="1">IF(Staff[[#This Row],[Tenure]]&gt;2, 3%, 2%) * Staff[[#This Row],[Salary]]</f>
        <v>1578.3</v>
      </c>
      <c r="K35">
        <f>_xlfn.XLOOKUP(Staff[[#This Row],[Rating]], Mapping!C$3:C$7, Mapping!D$3:D$7)</f>
        <v>2</v>
      </c>
      <c r="L35" s="8"/>
    </row>
    <row r="36" spans="1:12" x14ac:dyDescent="0.3">
      <c r="A36" t="s">
        <v>167</v>
      </c>
      <c r="B36" t="s">
        <v>8</v>
      </c>
      <c r="C36">
        <v>28</v>
      </c>
      <c r="D36" t="s">
        <v>16</v>
      </c>
      <c r="E36" s="6">
        <v>44296</v>
      </c>
      <c r="F36" t="s">
        <v>19</v>
      </c>
      <c r="G36" s="7">
        <v>53240</v>
      </c>
      <c r="H36" t="s">
        <v>205</v>
      </c>
      <c r="I36" s="8">
        <f ca="1">(TODAY() - Staff[[#This Row],[Date Joined]]) / 365</f>
        <v>2.5753424657534247</v>
      </c>
      <c r="J36" s="7">
        <f ca="1">IF(Staff[[#This Row],[Tenure]]&gt;2, 3%, 2%) * Staff[[#This Row],[Salary]]</f>
        <v>1597.2</v>
      </c>
      <c r="K36">
        <f>_xlfn.XLOOKUP(Staff[[#This Row],[Rating]], Mapping!C$3:C$7, Mapping!D$3:D$7)</f>
        <v>3</v>
      </c>
      <c r="L36" s="8"/>
    </row>
    <row r="37" spans="1:12" x14ac:dyDescent="0.3">
      <c r="A37" t="s">
        <v>75</v>
      </c>
      <c r="B37" t="s">
        <v>8</v>
      </c>
      <c r="C37">
        <v>28</v>
      </c>
      <c r="D37" t="s">
        <v>16</v>
      </c>
      <c r="E37" s="6">
        <v>44357</v>
      </c>
      <c r="F37" t="s">
        <v>19</v>
      </c>
      <c r="G37" s="7">
        <v>53240</v>
      </c>
      <c r="H37" t="s">
        <v>207</v>
      </c>
      <c r="I37" s="8">
        <f ca="1">(TODAY() - Staff[[#This Row],[Date Joined]]) / 365</f>
        <v>2.408219178082192</v>
      </c>
      <c r="J37" s="7">
        <f ca="1">IF(Staff[[#This Row],[Tenure]]&gt;2, 3%, 2%) * Staff[[#This Row],[Salary]]</f>
        <v>1597.2</v>
      </c>
      <c r="K37">
        <f>_xlfn.XLOOKUP(Staff[[#This Row],[Rating]], Mapping!C$3:C$7, Mapping!D$3:D$7)</f>
        <v>3</v>
      </c>
      <c r="L37" s="8"/>
    </row>
    <row r="38" spans="1:12" x14ac:dyDescent="0.3">
      <c r="A38" t="s">
        <v>157</v>
      </c>
      <c r="B38" t="s">
        <v>15</v>
      </c>
      <c r="C38">
        <v>32</v>
      </c>
      <c r="D38" t="s">
        <v>16</v>
      </c>
      <c r="E38" s="6">
        <v>44403</v>
      </c>
      <c r="F38" t="s">
        <v>19</v>
      </c>
      <c r="G38" s="7">
        <v>53540</v>
      </c>
      <c r="H38" t="s">
        <v>205</v>
      </c>
      <c r="I38" s="8">
        <f ca="1">(TODAY() - Staff[[#This Row],[Date Joined]]) / 365</f>
        <v>2.2821917808219179</v>
      </c>
      <c r="J38" s="7">
        <f ca="1">IF(Staff[[#This Row],[Tenure]]&gt;2, 3%, 2%) * Staff[[#This Row],[Salary]]</f>
        <v>1606.2</v>
      </c>
      <c r="K38">
        <f>_xlfn.XLOOKUP(Staff[[#This Row],[Rating]], Mapping!C$3:C$7, Mapping!D$3:D$7)</f>
        <v>3</v>
      </c>
      <c r="L38" s="8"/>
    </row>
    <row r="39" spans="1:12" x14ac:dyDescent="0.3">
      <c r="A39" t="s">
        <v>139</v>
      </c>
      <c r="B39" t="s">
        <v>15</v>
      </c>
      <c r="C39">
        <v>26</v>
      </c>
      <c r="D39" t="s">
        <v>16</v>
      </c>
      <c r="E39" s="6">
        <v>44350</v>
      </c>
      <c r="F39" t="s">
        <v>9</v>
      </c>
      <c r="G39" s="7">
        <v>53540</v>
      </c>
      <c r="H39" t="s">
        <v>205</v>
      </c>
      <c r="I39" s="8">
        <f ca="1">(TODAY() - Staff[[#This Row],[Date Joined]]) / 365</f>
        <v>2.4273972602739726</v>
      </c>
      <c r="J39" s="7">
        <f ca="1">IF(Staff[[#This Row],[Tenure]]&gt;2, 3%, 2%) * Staff[[#This Row],[Salary]]</f>
        <v>1606.2</v>
      </c>
      <c r="K39">
        <f>_xlfn.XLOOKUP(Staff[[#This Row],[Rating]], Mapping!C$3:C$7, Mapping!D$3:D$7)</f>
        <v>3</v>
      </c>
      <c r="L39" s="8"/>
    </row>
    <row r="40" spans="1:12" x14ac:dyDescent="0.3">
      <c r="A40" t="s">
        <v>65</v>
      </c>
      <c r="B40" t="s">
        <v>15</v>
      </c>
      <c r="C40">
        <v>32</v>
      </c>
      <c r="D40" t="s">
        <v>16</v>
      </c>
      <c r="E40" s="6">
        <v>44465</v>
      </c>
      <c r="F40" t="s">
        <v>19</v>
      </c>
      <c r="G40" s="7">
        <v>53540</v>
      </c>
      <c r="H40" t="s">
        <v>207</v>
      </c>
      <c r="I40" s="8">
        <f ca="1">(TODAY() - Staff[[#This Row],[Date Joined]]) / 365</f>
        <v>2.1123287671232878</v>
      </c>
      <c r="J40" s="7">
        <f ca="1">IF(Staff[[#This Row],[Tenure]]&gt;2, 3%, 2%) * Staff[[#This Row],[Salary]]</f>
        <v>1606.2</v>
      </c>
      <c r="K40">
        <f>_xlfn.XLOOKUP(Staff[[#This Row],[Rating]], Mapping!C$3:C$7, Mapping!D$3:D$7)</f>
        <v>3</v>
      </c>
      <c r="L40" s="8"/>
    </row>
    <row r="41" spans="1:12" x14ac:dyDescent="0.3">
      <c r="A41" t="s">
        <v>46</v>
      </c>
      <c r="B41" t="s">
        <v>15</v>
      </c>
      <c r="C41">
        <v>26</v>
      </c>
      <c r="D41" t="s">
        <v>16</v>
      </c>
      <c r="E41" s="6">
        <v>44411</v>
      </c>
      <c r="F41" t="s">
        <v>9</v>
      </c>
      <c r="G41" s="7">
        <v>53540</v>
      </c>
      <c r="H41" t="s">
        <v>207</v>
      </c>
      <c r="I41" s="8">
        <f ca="1">(TODAY() - Staff[[#This Row],[Date Joined]]) / 365</f>
        <v>2.2602739726027399</v>
      </c>
      <c r="J41" s="7">
        <f ca="1">IF(Staff[[#This Row],[Tenure]]&gt;2, 3%, 2%) * Staff[[#This Row],[Salary]]</f>
        <v>1606.2</v>
      </c>
      <c r="K41">
        <f>_xlfn.XLOOKUP(Staff[[#This Row],[Rating]], Mapping!C$3:C$7, Mapping!D$3:D$7)</f>
        <v>3</v>
      </c>
      <c r="L41" s="8"/>
    </row>
    <row r="42" spans="1:12" x14ac:dyDescent="0.3">
      <c r="A42" t="s">
        <v>174</v>
      </c>
      <c r="B42" t="s">
        <v>15</v>
      </c>
      <c r="C42">
        <v>33</v>
      </c>
      <c r="D42" t="s">
        <v>16</v>
      </c>
      <c r="E42" s="6">
        <v>44448</v>
      </c>
      <c r="F42" t="s">
        <v>12</v>
      </c>
      <c r="G42" s="7">
        <v>53870</v>
      </c>
      <c r="H42" t="s">
        <v>205</v>
      </c>
      <c r="I42" s="8">
        <f ca="1">(TODAY() - Staff[[#This Row],[Date Joined]]) / 365</f>
        <v>2.1589041095890411</v>
      </c>
      <c r="J42" s="7">
        <f ca="1">IF(Staff[[#This Row],[Tenure]]&gt;2, 3%, 2%) * Staff[[#This Row],[Salary]]</f>
        <v>1616.1</v>
      </c>
      <c r="K42">
        <f>_xlfn.XLOOKUP(Staff[[#This Row],[Rating]], Mapping!C$3:C$7, Mapping!D$3:D$7)</f>
        <v>3</v>
      </c>
      <c r="L42" s="8"/>
    </row>
    <row r="43" spans="1:12" x14ac:dyDescent="0.3">
      <c r="A43" t="s">
        <v>82</v>
      </c>
      <c r="B43" t="s">
        <v>15</v>
      </c>
      <c r="C43">
        <v>33</v>
      </c>
      <c r="D43" t="s">
        <v>16</v>
      </c>
      <c r="E43" s="6">
        <v>44509</v>
      </c>
      <c r="F43" t="s">
        <v>12</v>
      </c>
      <c r="G43" s="7">
        <v>53870</v>
      </c>
      <c r="H43" t="s">
        <v>207</v>
      </c>
      <c r="I43" s="8">
        <f ca="1">(TODAY() - Staff[[#This Row],[Date Joined]]) / 365</f>
        <v>1.9917808219178081</v>
      </c>
      <c r="J43" s="7">
        <f ca="1">IF(Staff[[#This Row],[Tenure]]&gt;2, 3%, 2%) * Staff[[#This Row],[Salary]]</f>
        <v>1077.4000000000001</v>
      </c>
      <c r="K43">
        <f>_xlfn.XLOOKUP(Staff[[#This Row],[Rating]], Mapping!C$3:C$7, Mapping!D$3:D$7)</f>
        <v>3</v>
      </c>
      <c r="L43" s="8"/>
    </row>
    <row r="44" spans="1:12" x14ac:dyDescent="0.3">
      <c r="A44" t="s">
        <v>182</v>
      </c>
      <c r="B44" t="s">
        <v>15</v>
      </c>
      <c r="C44">
        <v>27</v>
      </c>
      <c r="D44" t="s">
        <v>16</v>
      </c>
      <c r="E44" s="6">
        <v>44073</v>
      </c>
      <c r="F44" t="s">
        <v>19</v>
      </c>
      <c r="G44" s="7">
        <v>54970</v>
      </c>
      <c r="H44" t="s">
        <v>205</v>
      </c>
      <c r="I44" s="8">
        <f ca="1">(TODAY() - Staff[[#This Row],[Date Joined]]) / 365</f>
        <v>3.1863013698630138</v>
      </c>
      <c r="J44" s="7">
        <f ca="1">IF(Staff[[#This Row],[Tenure]]&gt;2, 3%, 2%) * Staff[[#This Row],[Salary]]</f>
        <v>1649.1</v>
      </c>
      <c r="K44">
        <f>_xlfn.XLOOKUP(Staff[[#This Row],[Rating]], Mapping!C$3:C$7, Mapping!D$3:D$7)</f>
        <v>3</v>
      </c>
      <c r="L44" s="8"/>
    </row>
    <row r="45" spans="1:12" x14ac:dyDescent="0.3">
      <c r="A45" t="s">
        <v>89</v>
      </c>
      <c r="B45" t="s">
        <v>15</v>
      </c>
      <c r="C45">
        <v>27</v>
      </c>
      <c r="D45" t="s">
        <v>16</v>
      </c>
      <c r="E45" s="6">
        <v>44134</v>
      </c>
      <c r="F45" t="s">
        <v>19</v>
      </c>
      <c r="G45" s="7">
        <v>54970</v>
      </c>
      <c r="H45" t="s">
        <v>207</v>
      </c>
      <c r="I45" s="8">
        <f ca="1">(TODAY() - Staff[[#This Row],[Date Joined]]) / 365</f>
        <v>3.0191780821917806</v>
      </c>
      <c r="J45" s="7">
        <f ca="1">IF(Staff[[#This Row],[Tenure]]&gt;2, 3%, 2%) * Staff[[#This Row],[Salary]]</f>
        <v>1649.1</v>
      </c>
      <c r="K45">
        <f>_xlfn.XLOOKUP(Staff[[#This Row],[Rating]], Mapping!C$3:C$7, Mapping!D$3:D$7)</f>
        <v>3</v>
      </c>
      <c r="L45" s="8"/>
    </row>
    <row r="46" spans="1:12" x14ac:dyDescent="0.3">
      <c r="A46" t="s">
        <v>202</v>
      </c>
      <c r="B46" t="s">
        <v>8</v>
      </c>
      <c r="C46">
        <v>38</v>
      </c>
      <c r="D46" t="s">
        <v>13</v>
      </c>
      <c r="E46" s="6">
        <v>44268</v>
      </c>
      <c r="F46" t="s">
        <v>19</v>
      </c>
      <c r="G46" s="7">
        <v>56870</v>
      </c>
      <c r="H46" t="s">
        <v>205</v>
      </c>
      <c r="I46" s="8">
        <f ca="1">(TODAY() - Staff[[#This Row],[Date Joined]]) / 365</f>
        <v>2.6520547945205482</v>
      </c>
      <c r="J46" s="7">
        <f ca="1">IF(Staff[[#This Row],[Tenure]]&gt;2, 3%, 2%) * Staff[[#This Row],[Salary]]</f>
        <v>1706.1</v>
      </c>
      <c r="K46">
        <f>_xlfn.XLOOKUP(Staff[[#This Row],[Rating]], Mapping!C$3:C$7, Mapping!D$3:D$7)</f>
        <v>4</v>
      </c>
      <c r="L46" s="8"/>
    </row>
    <row r="47" spans="1:12" x14ac:dyDescent="0.3">
      <c r="A47" t="s">
        <v>109</v>
      </c>
      <c r="B47" t="s">
        <v>8</v>
      </c>
      <c r="C47">
        <v>38</v>
      </c>
      <c r="D47" t="s">
        <v>13</v>
      </c>
      <c r="E47" s="6">
        <v>44329</v>
      </c>
      <c r="F47" t="s">
        <v>19</v>
      </c>
      <c r="G47" s="7">
        <v>56870</v>
      </c>
      <c r="H47" t="s">
        <v>207</v>
      </c>
      <c r="I47" s="8">
        <f ca="1">(TODAY() - Staff[[#This Row],[Date Joined]]) / 365</f>
        <v>2.484931506849315</v>
      </c>
      <c r="J47" s="7">
        <f ca="1">IF(Staff[[#This Row],[Tenure]]&gt;2, 3%, 2%) * Staff[[#This Row],[Salary]]</f>
        <v>1706.1</v>
      </c>
      <c r="K47">
        <f>_xlfn.XLOOKUP(Staff[[#This Row],[Rating]], Mapping!C$3:C$7, Mapping!D$3:D$7)</f>
        <v>4</v>
      </c>
      <c r="L47" s="8"/>
    </row>
    <row r="48" spans="1:12" x14ac:dyDescent="0.3">
      <c r="A48" t="s">
        <v>125</v>
      </c>
      <c r="B48" t="s">
        <v>15</v>
      </c>
      <c r="C48">
        <v>21</v>
      </c>
      <c r="D48" t="s">
        <v>16</v>
      </c>
      <c r="E48" s="6">
        <v>44701</v>
      </c>
      <c r="F48" t="s">
        <v>9</v>
      </c>
      <c r="G48" s="7">
        <v>57090</v>
      </c>
      <c r="H48" t="s">
        <v>205</v>
      </c>
      <c r="I48" s="8">
        <f ca="1">(TODAY() - Staff[[#This Row],[Date Joined]]) / 365</f>
        <v>1.4657534246575343</v>
      </c>
      <c r="J48" s="7">
        <f ca="1">IF(Staff[[#This Row],[Tenure]]&gt;2, 3%, 2%) * Staff[[#This Row],[Salary]]</f>
        <v>1141.8</v>
      </c>
      <c r="K48">
        <f>_xlfn.XLOOKUP(Staff[[#This Row],[Rating]], Mapping!C$3:C$7, Mapping!D$3:D$7)</f>
        <v>3</v>
      </c>
      <c r="L48" s="8"/>
    </row>
    <row r="49" spans="1:12" x14ac:dyDescent="0.3">
      <c r="A49" t="s">
        <v>31</v>
      </c>
      <c r="B49" t="s">
        <v>15</v>
      </c>
      <c r="C49">
        <v>21</v>
      </c>
      <c r="D49" t="s">
        <v>16</v>
      </c>
      <c r="E49" s="6">
        <v>44762</v>
      </c>
      <c r="F49" t="s">
        <v>9</v>
      </c>
      <c r="G49" s="7">
        <v>57090</v>
      </c>
      <c r="H49" t="s">
        <v>207</v>
      </c>
      <c r="I49" s="8">
        <f ca="1">(TODAY() - Staff[[#This Row],[Date Joined]]) / 365</f>
        <v>1.2986301369863014</v>
      </c>
      <c r="J49" s="7">
        <f ca="1">IF(Staff[[#This Row],[Tenure]]&gt;2, 3%, 2%) * Staff[[#This Row],[Salary]]</f>
        <v>1141.8</v>
      </c>
      <c r="K49">
        <f>_xlfn.XLOOKUP(Staff[[#This Row],[Rating]], Mapping!C$3:C$7, Mapping!D$3:D$7)</f>
        <v>3</v>
      </c>
      <c r="L49" s="8"/>
    </row>
    <row r="50" spans="1:12" x14ac:dyDescent="0.3">
      <c r="A50" t="s">
        <v>120</v>
      </c>
      <c r="B50" t="s">
        <v>8</v>
      </c>
      <c r="C50">
        <v>31</v>
      </c>
      <c r="D50" t="s">
        <v>16</v>
      </c>
      <c r="E50" s="6">
        <v>44604</v>
      </c>
      <c r="F50" t="s">
        <v>12</v>
      </c>
      <c r="G50" s="7">
        <v>58100</v>
      </c>
      <c r="H50" t="s">
        <v>205</v>
      </c>
      <c r="I50" s="8">
        <f ca="1">(TODAY() - Staff[[#This Row],[Date Joined]]) / 365</f>
        <v>1.7315068493150685</v>
      </c>
      <c r="J50" s="7">
        <f ca="1">IF(Staff[[#This Row],[Tenure]]&gt;2, 3%, 2%) * Staff[[#This Row],[Salary]]</f>
        <v>1162</v>
      </c>
      <c r="K50">
        <f>_xlfn.XLOOKUP(Staff[[#This Row],[Rating]], Mapping!C$3:C$7, Mapping!D$3:D$7)</f>
        <v>3</v>
      </c>
      <c r="L50" s="8"/>
    </row>
    <row r="51" spans="1:12" x14ac:dyDescent="0.3">
      <c r="A51" t="s">
        <v>26</v>
      </c>
      <c r="B51" t="s">
        <v>8</v>
      </c>
      <c r="C51">
        <v>31</v>
      </c>
      <c r="D51" t="s">
        <v>16</v>
      </c>
      <c r="E51" s="6">
        <v>44663</v>
      </c>
      <c r="F51" t="s">
        <v>12</v>
      </c>
      <c r="G51" s="7">
        <v>58100</v>
      </c>
      <c r="H51" t="s">
        <v>207</v>
      </c>
      <c r="I51" s="8">
        <f ca="1">(TODAY() - Staff[[#This Row],[Date Joined]]) / 365</f>
        <v>1.5698630136986302</v>
      </c>
      <c r="J51" s="7">
        <f ca="1">IF(Staff[[#This Row],[Tenure]]&gt;2, 3%, 2%) * Staff[[#This Row],[Salary]]</f>
        <v>1162</v>
      </c>
      <c r="K51">
        <f>_xlfn.XLOOKUP(Staff[[#This Row],[Rating]], Mapping!C$3:C$7, Mapping!D$3:D$7)</f>
        <v>3</v>
      </c>
      <c r="L51" s="8"/>
    </row>
    <row r="52" spans="1:12" x14ac:dyDescent="0.3">
      <c r="A52" t="s">
        <v>130</v>
      </c>
      <c r="B52" t="s">
        <v>8</v>
      </c>
      <c r="C52">
        <v>34</v>
      </c>
      <c r="D52" t="s">
        <v>16</v>
      </c>
      <c r="E52" s="6">
        <v>44594</v>
      </c>
      <c r="F52" t="s">
        <v>21</v>
      </c>
      <c r="G52" s="7">
        <v>58940</v>
      </c>
      <c r="H52" t="s">
        <v>205</v>
      </c>
      <c r="I52" s="8">
        <f ca="1">(TODAY() - Staff[[#This Row],[Date Joined]]) / 365</f>
        <v>1.7589041095890412</v>
      </c>
      <c r="J52" s="7">
        <f ca="1">IF(Staff[[#This Row],[Tenure]]&gt;2, 3%, 2%) * Staff[[#This Row],[Salary]]</f>
        <v>1178.8</v>
      </c>
      <c r="K52">
        <f>_xlfn.XLOOKUP(Staff[[#This Row],[Rating]], Mapping!C$3:C$7, Mapping!D$3:D$7)</f>
        <v>3</v>
      </c>
      <c r="L52" s="8"/>
    </row>
    <row r="53" spans="1:12" x14ac:dyDescent="0.3">
      <c r="A53" t="s">
        <v>36</v>
      </c>
      <c r="B53" t="s">
        <v>8</v>
      </c>
      <c r="C53">
        <v>34</v>
      </c>
      <c r="D53" t="s">
        <v>16</v>
      </c>
      <c r="E53" s="6">
        <v>44653</v>
      </c>
      <c r="F53" t="s">
        <v>21</v>
      </c>
      <c r="G53" s="7">
        <v>58940</v>
      </c>
      <c r="H53" t="s">
        <v>207</v>
      </c>
      <c r="I53" s="8">
        <f ca="1">(TODAY() - Staff[[#This Row],[Date Joined]]) / 365</f>
        <v>1.5972602739726027</v>
      </c>
      <c r="J53" s="7">
        <f ca="1">IF(Staff[[#This Row],[Tenure]]&gt;2, 3%, 2%) * Staff[[#This Row],[Salary]]</f>
        <v>1178.8</v>
      </c>
      <c r="K53">
        <f>_xlfn.XLOOKUP(Staff[[#This Row],[Rating]], Mapping!C$3:C$7, Mapping!D$3:D$7)</f>
        <v>3</v>
      </c>
      <c r="L53" s="8"/>
    </row>
    <row r="54" spans="1:12" x14ac:dyDescent="0.3">
      <c r="A54" t="s">
        <v>193</v>
      </c>
      <c r="B54" t="s">
        <v>15</v>
      </c>
      <c r="C54">
        <v>19</v>
      </c>
      <c r="D54" t="s">
        <v>16</v>
      </c>
      <c r="E54" s="6">
        <v>44218</v>
      </c>
      <c r="F54" t="s">
        <v>9</v>
      </c>
      <c r="G54" s="7">
        <v>58960</v>
      </c>
      <c r="H54" t="s">
        <v>205</v>
      </c>
      <c r="I54" s="8">
        <f ca="1">(TODAY() - Staff[[#This Row],[Date Joined]]) / 365</f>
        <v>2.7890410958904108</v>
      </c>
      <c r="J54" s="7">
        <f ca="1">IF(Staff[[#This Row],[Tenure]]&gt;2, 3%, 2%) * Staff[[#This Row],[Salary]]</f>
        <v>1768.8</v>
      </c>
      <c r="K54">
        <f>_xlfn.XLOOKUP(Staff[[#This Row],[Rating]], Mapping!C$3:C$7, Mapping!D$3:D$7)</f>
        <v>3</v>
      </c>
      <c r="L54" s="8"/>
    </row>
    <row r="55" spans="1:12" x14ac:dyDescent="0.3">
      <c r="A55" t="s">
        <v>100</v>
      </c>
      <c r="B55" t="s">
        <v>15</v>
      </c>
      <c r="C55">
        <v>19</v>
      </c>
      <c r="D55" t="s">
        <v>16</v>
      </c>
      <c r="E55" s="6">
        <v>44277</v>
      </c>
      <c r="F55" t="s">
        <v>9</v>
      </c>
      <c r="G55" s="7">
        <v>58960</v>
      </c>
      <c r="H55" t="s">
        <v>207</v>
      </c>
      <c r="I55" s="8">
        <f ca="1">(TODAY() - Staff[[#This Row],[Date Joined]]) / 365</f>
        <v>2.6273972602739728</v>
      </c>
      <c r="J55" s="7">
        <f ca="1">IF(Staff[[#This Row],[Tenure]]&gt;2, 3%, 2%) * Staff[[#This Row],[Salary]]</f>
        <v>1768.8</v>
      </c>
      <c r="K55">
        <f>_xlfn.XLOOKUP(Staff[[#This Row],[Rating]], Mapping!C$3:C$7, Mapping!D$3:D$7)</f>
        <v>3</v>
      </c>
      <c r="L55" s="8"/>
    </row>
    <row r="56" spans="1:12" x14ac:dyDescent="0.3">
      <c r="A56" t="s">
        <v>171</v>
      </c>
      <c r="B56" t="s">
        <v>15</v>
      </c>
      <c r="C56">
        <v>33</v>
      </c>
      <c r="D56" t="s">
        <v>16</v>
      </c>
      <c r="E56" s="6">
        <v>44181</v>
      </c>
      <c r="F56" t="s">
        <v>21</v>
      </c>
      <c r="G56" s="7">
        <v>59430</v>
      </c>
      <c r="H56" t="s">
        <v>205</v>
      </c>
      <c r="I56" s="8">
        <f ca="1">(TODAY() - Staff[[#This Row],[Date Joined]]) / 365</f>
        <v>2.8904109589041096</v>
      </c>
      <c r="J56" s="7">
        <f ca="1">IF(Staff[[#This Row],[Tenure]]&gt;2, 3%, 2%) * Staff[[#This Row],[Salary]]</f>
        <v>1782.8999999999999</v>
      </c>
      <c r="K56">
        <f>_xlfn.XLOOKUP(Staff[[#This Row],[Rating]], Mapping!C$3:C$7, Mapping!D$3:D$7)</f>
        <v>3</v>
      </c>
      <c r="L56" s="8"/>
    </row>
    <row r="57" spans="1:12" x14ac:dyDescent="0.3">
      <c r="A57" t="s">
        <v>79</v>
      </c>
      <c r="B57" t="s">
        <v>15</v>
      </c>
      <c r="C57">
        <v>33</v>
      </c>
      <c r="D57" t="s">
        <v>16</v>
      </c>
      <c r="E57" s="6">
        <v>44243</v>
      </c>
      <c r="F57" t="s">
        <v>21</v>
      </c>
      <c r="G57" s="7">
        <v>59430</v>
      </c>
      <c r="H57" t="s">
        <v>207</v>
      </c>
      <c r="I57" s="8">
        <f ca="1">(TODAY() - Staff[[#This Row],[Date Joined]]) / 365</f>
        <v>2.7205479452054795</v>
      </c>
      <c r="J57" s="7">
        <f ca="1">IF(Staff[[#This Row],[Tenure]]&gt;2, 3%, 2%) * Staff[[#This Row],[Salary]]</f>
        <v>1782.8999999999999</v>
      </c>
      <c r="K57">
        <f>_xlfn.XLOOKUP(Staff[[#This Row],[Rating]], Mapping!C$3:C$7, Mapping!D$3:D$7)</f>
        <v>3</v>
      </c>
      <c r="L57" s="8"/>
    </row>
    <row r="58" spans="1:12" x14ac:dyDescent="0.3">
      <c r="A58" t="s">
        <v>132</v>
      </c>
      <c r="B58" t="s">
        <v>8</v>
      </c>
      <c r="C58">
        <v>34</v>
      </c>
      <c r="D58" t="s">
        <v>16</v>
      </c>
      <c r="E58" s="6">
        <v>44550</v>
      </c>
      <c r="F58" t="s">
        <v>21</v>
      </c>
      <c r="G58" s="7">
        <v>60130</v>
      </c>
      <c r="H58" t="s">
        <v>205</v>
      </c>
      <c r="I58" s="8">
        <f ca="1">(TODAY() - Staff[[#This Row],[Date Joined]]) / 365</f>
        <v>1.8794520547945206</v>
      </c>
      <c r="J58" s="7">
        <f ca="1">IF(Staff[[#This Row],[Tenure]]&gt;2, 3%, 2%) * Staff[[#This Row],[Salary]]</f>
        <v>1202.6000000000001</v>
      </c>
      <c r="K58">
        <f>_xlfn.XLOOKUP(Staff[[#This Row],[Rating]], Mapping!C$3:C$7, Mapping!D$3:D$7)</f>
        <v>3</v>
      </c>
      <c r="L58" s="8"/>
    </row>
    <row r="59" spans="1:12" x14ac:dyDescent="0.3">
      <c r="A59" t="s">
        <v>38</v>
      </c>
      <c r="B59" t="s">
        <v>8</v>
      </c>
      <c r="C59">
        <v>34</v>
      </c>
      <c r="D59" t="s">
        <v>16</v>
      </c>
      <c r="E59" s="6">
        <v>44612</v>
      </c>
      <c r="F59" t="s">
        <v>21</v>
      </c>
      <c r="G59" s="7">
        <v>60130</v>
      </c>
      <c r="H59" t="s">
        <v>207</v>
      </c>
      <c r="I59" s="8">
        <f ca="1">(TODAY() - Staff[[#This Row],[Date Joined]]) / 365</f>
        <v>1.7095890410958905</v>
      </c>
      <c r="J59" s="7">
        <f ca="1">IF(Staff[[#This Row],[Tenure]]&gt;2, 3%, 2%) * Staff[[#This Row],[Salary]]</f>
        <v>1202.6000000000001</v>
      </c>
      <c r="K59">
        <f>_xlfn.XLOOKUP(Staff[[#This Row],[Rating]], Mapping!C$3:C$7, Mapping!D$3:D$7)</f>
        <v>3</v>
      </c>
      <c r="L59" s="8"/>
    </row>
    <row r="60" spans="1:12" x14ac:dyDescent="0.3">
      <c r="A60" t="s">
        <v>131</v>
      </c>
      <c r="B60" t="s">
        <v>15</v>
      </c>
      <c r="C60">
        <v>30</v>
      </c>
      <c r="D60" t="s">
        <v>16</v>
      </c>
      <c r="E60" s="6">
        <v>44607</v>
      </c>
      <c r="F60" t="s">
        <v>9</v>
      </c>
      <c r="G60" s="7">
        <v>60570</v>
      </c>
      <c r="H60" t="s">
        <v>205</v>
      </c>
      <c r="I60" s="8">
        <f ca="1">(TODAY() - Staff[[#This Row],[Date Joined]]) / 365</f>
        <v>1.7232876712328766</v>
      </c>
      <c r="J60" s="7">
        <f ca="1">IF(Staff[[#This Row],[Tenure]]&gt;2, 3%, 2%) * Staff[[#This Row],[Salary]]</f>
        <v>1211.4000000000001</v>
      </c>
      <c r="K60">
        <f>_xlfn.XLOOKUP(Staff[[#This Row],[Rating]], Mapping!C$3:C$7, Mapping!D$3:D$7)</f>
        <v>3</v>
      </c>
      <c r="L60" s="8"/>
    </row>
    <row r="61" spans="1:12" x14ac:dyDescent="0.3">
      <c r="A61" t="s">
        <v>37</v>
      </c>
      <c r="B61" t="s">
        <v>15</v>
      </c>
      <c r="C61">
        <v>30</v>
      </c>
      <c r="D61" t="s">
        <v>16</v>
      </c>
      <c r="E61" s="6">
        <v>44666</v>
      </c>
      <c r="F61" t="s">
        <v>9</v>
      </c>
      <c r="G61" s="7">
        <v>60570</v>
      </c>
      <c r="H61" t="s">
        <v>207</v>
      </c>
      <c r="I61" s="8">
        <f ca="1">(TODAY() - Staff[[#This Row],[Date Joined]]) / 365</f>
        <v>1.5616438356164384</v>
      </c>
      <c r="J61" s="7">
        <f ca="1">IF(Staff[[#This Row],[Tenure]]&gt;2, 3%, 2%) * Staff[[#This Row],[Salary]]</f>
        <v>1211.4000000000001</v>
      </c>
      <c r="K61">
        <f>_xlfn.XLOOKUP(Staff[[#This Row],[Rating]], Mapping!C$3:C$7, Mapping!D$3:D$7)</f>
        <v>3</v>
      </c>
      <c r="L61" s="8"/>
    </row>
    <row r="62" spans="1:12" x14ac:dyDescent="0.3">
      <c r="A62" t="s">
        <v>153</v>
      </c>
      <c r="B62" t="s">
        <v>8</v>
      </c>
      <c r="C62">
        <v>24</v>
      </c>
      <c r="D62" t="s">
        <v>16</v>
      </c>
      <c r="E62" s="6">
        <v>44087</v>
      </c>
      <c r="F62" t="s">
        <v>12</v>
      </c>
      <c r="G62" s="7">
        <v>62780</v>
      </c>
      <c r="H62" t="s">
        <v>205</v>
      </c>
      <c r="I62" s="8">
        <f ca="1">(TODAY() - Staff[[#This Row],[Date Joined]]) / 365</f>
        <v>3.1479452054794521</v>
      </c>
      <c r="J62" s="7">
        <f ca="1">IF(Staff[[#This Row],[Tenure]]&gt;2, 3%, 2%) * Staff[[#This Row],[Salary]]</f>
        <v>1883.3999999999999</v>
      </c>
      <c r="K62">
        <f>_xlfn.XLOOKUP(Staff[[#This Row],[Rating]], Mapping!C$3:C$7, Mapping!D$3:D$7)</f>
        <v>3</v>
      </c>
      <c r="L62" s="8"/>
    </row>
    <row r="63" spans="1:12" x14ac:dyDescent="0.3">
      <c r="A63" t="s">
        <v>61</v>
      </c>
      <c r="B63" t="s">
        <v>8</v>
      </c>
      <c r="C63">
        <v>24</v>
      </c>
      <c r="D63" t="s">
        <v>16</v>
      </c>
      <c r="E63" s="6">
        <v>44148</v>
      </c>
      <c r="F63" t="s">
        <v>12</v>
      </c>
      <c r="G63" s="7">
        <v>62780</v>
      </c>
      <c r="H63" t="s">
        <v>207</v>
      </c>
      <c r="I63" s="8">
        <f ca="1">(TODAY() - Staff[[#This Row],[Date Joined]]) / 365</f>
        <v>2.9808219178082194</v>
      </c>
      <c r="J63" s="7">
        <f ca="1">IF(Staff[[#This Row],[Tenure]]&gt;2, 3%, 2%) * Staff[[#This Row],[Salary]]</f>
        <v>1883.3999999999999</v>
      </c>
      <c r="K63">
        <f>_xlfn.XLOOKUP(Staff[[#This Row],[Rating]], Mapping!C$3:C$7, Mapping!D$3:D$7)</f>
        <v>3</v>
      </c>
      <c r="L63" s="8"/>
    </row>
    <row r="64" spans="1:12" x14ac:dyDescent="0.3">
      <c r="A64" t="s">
        <v>116</v>
      </c>
      <c r="B64" t="s">
        <v>206</v>
      </c>
      <c r="C64">
        <v>30</v>
      </c>
      <c r="D64" t="s">
        <v>16</v>
      </c>
      <c r="E64" s="6">
        <v>44535</v>
      </c>
      <c r="F64" t="s">
        <v>21</v>
      </c>
      <c r="G64" s="7">
        <v>64000</v>
      </c>
      <c r="H64" t="s">
        <v>205</v>
      </c>
      <c r="I64" s="8">
        <f ca="1">(TODAY() - Staff[[#This Row],[Date Joined]]) / 365</f>
        <v>1.9205479452054794</v>
      </c>
      <c r="J64" s="7">
        <f ca="1">IF(Staff[[#This Row],[Tenure]]&gt;2, 3%, 2%) * Staff[[#This Row],[Salary]]</f>
        <v>1280</v>
      </c>
      <c r="K64">
        <f>_xlfn.XLOOKUP(Staff[[#This Row],[Rating]], Mapping!C$3:C$7, Mapping!D$3:D$7)</f>
        <v>3</v>
      </c>
      <c r="L64" s="8"/>
    </row>
    <row r="65" spans="1:12" x14ac:dyDescent="0.3">
      <c r="A65" t="s">
        <v>20</v>
      </c>
      <c r="B65" t="s">
        <v>206</v>
      </c>
      <c r="C65">
        <v>30</v>
      </c>
      <c r="D65" t="s">
        <v>16</v>
      </c>
      <c r="E65" s="6">
        <v>44597</v>
      </c>
      <c r="F65" t="s">
        <v>21</v>
      </c>
      <c r="G65" s="7">
        <v>64000</v>
      </c>
      <c r="H65" t="s">
        <v>207</v>
      </c>
      <c r="I65" s="8">
        <f ca="1">(TODAY() - Staff[[#This Row],[Date Joined]]) / 365</f>
        <v>1.7506849315068493</v>
      </c>
      <c r="J65" s="7">
        <f ca="1">IF(Staff[[#This Row],[Tenure]]&gt;2, 3%, 2%) * Staff[[#This Row],[Salary]]</f>
        <v>1280</v>
      </c>
      <c r="K65">
        <f>_xlfn.XLOOKUP(Staff[[#This Row],[Rating]], Mapping!C$3:C$7, Mapping!D$3:D$7)</f>
        <v>3</v>
      </c>
      <c r="L65" s="8"/>
    </row>
    <row r="66" spans="1:12" x14ac:dyDescent="0.3">
      <c r="A66" t="s">
        <v>186</v>
      </c>
      <c r="B66" t="s">
        <v>8</v>
      </c>
      <c r="C66">
        <v>33</v>
      </c>
      <c r="D66" t="s">
        <v>16</v>
      </c>
      <c r="E66" s="6">
        <v>44006</v>
      </c>
      <c r="F66" t="s">
        <v>21</v>
      </c>
      <c r="G66" s="7">
        <v>65360</v>
      </c>
      <c r="H66" t="s">
        <v>205</v>
      </c>
      <c r="I66" s="8">
        <f ca="1">(TODAY() - Staff[[#This Row],[Date Joined]]) / 365</f>
        <v>3.3698630136986303</v>
      </c>
      <c r="J66" s="7">
        <f ca="1">IF(Staff[[#This Row],[Tenure]]&gt;2, 3%, 2%) * Staff[[#This Row],[Salary]]</f>
        <v>1960.8</v>
      </c>
      <c r="K66">
        <f>_xlfn.XLOOKUP(Staff[[#This Row],[Rating]], Mapping!C$3:C$7, Mapping!D$3:D$7)</f>
        <v>3</v>
      </c>
      <c r="L66" s="8"/>
    </row>
    <row r="67" spans="1:12" x14ac:dyDescent="0.3">
      <c r="A67" t="s">
        <v>93</v>
      </c>
      <c r="B67" t="s">
        <v>8</v>
      </c>
      <c r="C67">
        <v>33</v>
      </c>
      <c r="D67" t="s">
        <v>16</v>
      </c>
      <c r="E67" s="6">
        <v>44067</v>
      </c>
      <c r="F67" t="s">
        <v>21</v>
      </c>
      <c r="G67" s="7">
        <v>65360</v>
      </c>
      <c r="H67" t="s">
        <v>207</v>
      </c>
      <c r="I67" s="8">
        <f ca="1">(TODAY() - Staff[[#This Row],[Date Joined]]) / 365</f>
        <v>3.2027397260273971</v>
      </c>
      <c r="J67" s="7">
        <f ca="1">IF(Staff[[#This Row],[Tenure]]&gt;2, 3%, 2%) * Staff[[#This Row],[Salary]]</f>
        <v>1960.8</v>
      </c>
      <c r="K67">
        <f>_xlfn.XLOOKUP(Staff[[#This Row],[Rating]], Mapping!C$3:C$7, Mapping!D$3:D$7)</f>
        <v>3</v>
      </c>
      <c r="L67" s="8"/>
    </row>
    <row r="68" spans="1:12" x14ac:dyDescent="0.3">
      <c r="A68" t="s">
        <v>168</v>
      </c>
      <c r="B68" t="s">
        <v>15</v>
      </c>
      <c r="C68">
        <v>25</v>
      </c>
      <c r="D68" t="s">
        <v>16</v>
      </c>
      <c r="E68" s="6">
        <v>44322</v>
      </c>
      <c r="F68" t="s">
        <v>19</v>
      </c>
      <c r="G68" s="7">
        <v>65700</v>
      </c>
      <c r="H68" t="s">
        <v>205</v>
      </c>
      <c r="I68" s="8">
        <f ca="1">(TODAY() - Staff[[#This Row],[Date Joined]]) / 365</f>
        <v>2.504109589041096</v>
      </c>
      <c r="J68" s="7">
        <f ca="1">IF(Staff[[#This Row],[Tenure]]&gt;2, 3%, 2%) * Staff[[#This Row],[Salary]]</f>
        <v>1971</v>
      </c>
      <c r="K68">
        <f>_xlfn.XLOOKUP(Staff[[#This Row],[Rating]], Mapping!C$3:C$7, Mapping!D$3:D$7)</f>
        <v>3</v>
      </c>
      <c r="L68" s="8"/>
    </row>
    <row r="69" spans="1:12" x14ac:dyDescent="0.3">
      <c r="A69" t="s">
        <v>76</v>
      </c>
      <c r="B69" t="s">
        <v>15</v>
      </c>
      <c r="C69">
        <v>25</v>
      </c>
      <c r="D69" t="s">
        <v>16</v>
      </c>
      <c r="E69" s="6">
        <v>44383</v>
      </c>
      <c r="F69" t="s">
        <v>19</v>
      </c>
      <c r="G69" s="7">
        <v>65700</v>
      </c>
      <c r="H69" t="s">
        <v>207</v>
      </c>
      <c r="I69" s="8">
        <f ca="1">(TODAY() - Staff[[#This Row],[Date Joined]]) / 365</f>
        <v>2.3369863013698629</v>
      </c>
      <c r="J69" s="7">
        <f ca="1">IF(Staff[[#This Row],[Tenure]]&gt;2, 3%, 2%) * Staff[[#This Row],[Salary]]</f>
        <v>1971</v>
      </c>
      <c r="K69">
        <f>_xlfn.XLOOKUP(Staff[[#This Row],[Rating]], Mapping!C$3:C$7, Mapping!D$3:D$7)</f>
        <v>3</v>
      </c>
      <c r="L69" s="8"/>
    </row>
    <row r="70" spans="1:12" x14ac:dyDescent="0.3">
      <c r="A70" t="s">
        <v>126</v>
      </c>
      <c r="B70" t="s">
        <v>8</v>
      </c>
      <c r="C70">
        <v>21</v>
      </c>
      <c r="D70" t="s">
        <v>16</v>
      </c>
      <c r="E70" s="6">
        <v>44256</v>
      </c>
      <c r="F70" t="s">
        <v>21</v>
      </c>
      <c r="G70" s="7">
        <v>65920</v>
      </c>
      <c r="H70" t="s">
        <v>205</v>
      </c>
      <c r="I70" s="8">
        <f ca="1">(TODAY() - Staff[[#This Row],[Date Joined]]) / 365</f>
        <v>2.6849315068493151</v>
      </c>
      <c r="J70" s="7">
        <f ca="1">IF(Staff[[#This Row],[Tenure]]&gt;2, 3%, 2%) * Staff[[#This Row],[Salary]]</f>
        <v>1977.6</v>
      </c>
      <c r="K70">
        <f>_xlfn.XLOOKUP(Staff[[#This Row],[Rating]], Mapping!C$3:C$7, Mapping!D$3:D$7)</f>
        <v>3</v>
      </c>
      <c r="L70" s="8"/>
    </row>
    <row r="71" spans="1:12" x14ac:dyDescent="0.3">
      <c r="A71" t="s">
        <v>32</v>
      </c>
      <c r="B71" t="s">
        <v>8</v>
      </c>
      <c r="C71">
        <v>21</v>
      </c>
      <c r="D71" t="s">
        <v>16</v>
      </c>
      <c r="E71" s="6">
        <v>44317</v>
      </c>
      <c r="F71" t="s">
        <v>21</v>
      </c>
      <c r="G71" s="7">
        <v>65920</v>
      </c>
      <c r="H71" t="s">
        <v>207</v>
      </c>
      <c r="I71" s="8">
        <f ca="1">(TODAY() - Staff[[#This Row],[Date Joined]]) / 365</f>
        <v>2.5178082191780824</v>
      </c>
      <c r="J71" s="7">
        <f ca="1">IF(Staff[[#This Row],[Tenure]]&gt;2, 3%, 2%) * Staff[[#This Row],[Salary]]</f>
        <v>1977.6</v>
      </c>
      <c r="K71">
        <f>_xlfn.XLOOKUP(Staff[[#This Row],[Rating]], Mapping!C$3:C$7, Mapping!D$3:D$7)</f>
        <v>3</v>
      </c>
      <c r="L71" s="8"/>
    </row>
    <row r="72" spans="1:12" x14ac:dyDescent="0.3">
      <c r="A72" t="s">
        <v>121</v>
      </c>
      <c r="B72" t="s">
        <v>8</v>
      </c>
      <c r="C72">
        <v>30</v>
      </c>
      <c r="D72" t="s">
        <v>24</v>
      </c>
      <c r="E72" s="6">
        <v>44328</v>
      </c>
      <c r="F72" t="s">
        <v>21</v>
      </c>
      <c r="G72" s="7">
        <v>67910</v>
      </c>
      <c r="H72" t="s">
        <v>205</v>
      </c>
      <c r="I72" s="8">
        <f ca="1">(TODAY() - Staff[[#This Row],[Date Joined]]) / 365</f>
        <v>2.4876712328767123</v>
      </c>
      <c r="J72" s="7">
        <f ca="1">IF(Staff[[#This Row],[Tenure]]&gt;2, 3%, 2%) * Staff[[#This Row],[Salary]]</f>
        <v>2037.3</v>
      </c>
      <c r="K72">
        <f>_xlfn.XLOOKUP(Staff[[#This Row],[Rating]], Mapping!C$3:C$7, Mapping!D$3:D$7)</f>
        <v>2</v>
      </c>
      <c r="L72" s="8"/>
    </row>
    <row r="73" spans="1:12" x14ac:dyDescent="0.3">
      <c r="A73" t="s">
        <v>27</v>
      </c>
      <c r="B73" t="s">
        <v>8</v>
      </c>
      <c r="C73">
        <v>30</v>
      </c>
      <c r="D73" t="s">
        <v>24</v>
      </c>
      <c r="E73" s="6">
        <v>44389</v>
      </c>
      <c r="F73" t="s">
        <v>21</v>
      </c>
      <c r="G73" s="7">
        <v>67910</v>
      </c>
      <c r="H73" t="s">
        <v>207</v>
      </c>
      <c r="I73" s="8">
        <f ca="1">(TODAY() - Staff[[#This Row],[Date Joined]]) / 365</f>
        <v>2.3205479452054796</v>
      </c>
      <c r="J73" s="7">
        <f ca="1">IF(Staff[[#This Row],[Tenure]]&gt;2, 3%, 2%) * Staff[[#This Row],[Salary]]</f>
        <v>2037.3</v>
      </c>
      <c r="K73">
        <f>_xlfn.XLOOKUP(Staff[[#This Row],[Rating]], Mapping!C$3:C$7, Mapping!D$3:D$7)</f>
        <v>2</v>
      </c>
      <c r="L73" s="8"/>
    </row>
    <row r="74" spans="1:12" x14ac:dyDescent="0.3">
      <c r="A74" t="s">
        <v>138</v>
      </c>
      <c r="B74" t="s">
        <v>15</v>
      </c>
      <c r="C74">
        <v>30</v>
      </c>
      <c r="D74" t="s">
        <v>16</v>
      </c>
      <c r="E74" s="6">
        <v>44640</v>
      </c>
      <c r="F74" t="s">
        <v>9</v>
      </c>
      <c r="G74" s="7">
        <v>67950</v>
      </c>
      <c r="H74" t="s">
        <v>205</v>
      </c>
      <c r="I74" s="8">
        <f ca="1">(TODAY() - Staff[[#This Row],[Date Joined]]) / 365</f>
        <v>1.6328767123287671</v>
      </c>
      <c r="J74" s="7">
        <f ca="1">IF(Staff[[#This Row],[Tenure]]&gt;2, 3%, 2%) * Staff[[#This Row],[Salary]]</f>
        <v>1359</v>
      </c>
      <c r="K74">
        <f>_xlfn.XLOOKUP(Staff[[#This Row],[Rating]], Mapping!C$3:C$7, Mapping!D$3:D$7)</f>
        <v>3</v>
      </c>
      <c r="L74" s="8"/>
    </row>
    <row r="75" spans="1:12" x14ac:dyDescent="0.3">
      <c r="A75" t="s">
        <v>45</v>
      </c>
      <c r="B75" t="s">
        <v>15</v>
      </c>
      <c r="C75">
        <v>30</v>
      </c>
      <c r="D75" t="s">
        <v>16</v>
      </c>
      <c r="E75" s="6">
        <v>44701</v>
      </c>
      <c r="F75" t="s">
        <v>9</v>
      </c>
      <c r="G75" s="7">
        <v>67950</v>
      </c>
      <c r="H75" t="s">
        <v>207</v>
      </c>
      <c r="I75" s="8">
        <f ca="1">(TODAY() - Staff[[#This Row],[Date Joined]]) / 365</f>
        <v>1.4657534246575343</v>
      </c>
      <c r="J75" s="7">
        <f ca="1">IF(Staff[[#This Row],[Tenure]]&gt;2, 3%, 2%) * Staff[[#This Row],[Salary]]</f>
        <v>1359</v>
      </c>
      <c r="K75">
        <f>_xlfn.XLOOKUP(Staff[[#This Row],[Rating]], Mapping!C$3:C$7, Mapping!D$3:D$7)</f>
        <v>3</v>
      </c>
      <c r="L75" s="8"/>
    </row>
    <row r="76" spans="1:12" x14ac:dyDescent="0.3">
      <c r="A76" t="s">
        <v>184</v>
      </c>
      <c r="B76" t="s">
        <v>8</v>
      </c>
      <c r="C76">
        <v>20</v>
      </c>
      <c r="D76" t="s">
        <v>24</v>
      </c>
      <c r="E76" s="6">
        <v>44476</v>
      </c>
      <c r="F76" t="s">
        <v>19</v>
      </c>
      <c r="G76" s="7">
        <v>68900</v>
      </c>
      <c r="H76" t="s">
        <v>205</v>
      </c>
      <c r="I76" s="8">
        <f ca="1">(TODAY() - Staff[[#This Row],[Date Joined]]) / 365</f>
        <v>2.0821917808219177</v>
      </c>
      <c r="J76" s="7">
        <f ca="1">IF(Staff[[#This Row],[Tenure]]&gt;2, 3%, 2%) * Staff[[#This Row],[Salary]]</f>
        <v>2067</v>
      </c>
      <c r="K76">
        <f>_xlfn.XLOOKUP(Staff[[#This Row],[Rating]], Mapping!C$3:C$7, Mapping!D$3:D$7)</f>
        <v>2</v>
      </c>
      <c r="L76" s="8"/>
    </row>
    <row r="77" spans="1:12" x14ac:dyDescent="0.3">
      <c r="A77" t="s">
        <v>91</v>
      </c>
      <c r="B77" t="s">
        <v>8</v>
      </c>
      <c r="C77">
        <v>20</v>
      </c>
      <c r="D77" t="s">
        <v>24</v>
      </c>
      <c r="E77" s="6">
        <v>44537</v>
      </c>
      <c r="F77" t="s">
        <v>19</v>
      </c>
      <c r="G77" s="7">
        <v>68900</v>
      </c>
      <c r="H77" t="s">
        <v>207</v>
      </c>
      <c r="I77" s="8">
        <f ca="1">(TODAY() - Staff[[#This Row],[Date Joined]]) / 365</f>
        <v>1.9150684931506849</v>
      </c>
      <c r="J77" s="7">
        <f ca="1">IF(Staff[[#This Row],[Tenure]]&gt;2, 3%, 2%) * Staff[[#This Row],[Salary]]</f>
        <v>1378</v>
      </c>
      <c r="K77">
        <f>_xlfn.XLOOKUP(Staff[[#This Row],[Rating]], Mapping!C$3:C$7, Mapping!D$3:D$7)</f>
        <v>2</v>
      </c>
      <c r="L77" s="8"/>
    </row>
    <row r="78" spans="1:12" x14ac:dyDescent="0.3">
      <c r="A78" t="s">
        <v>190</v>
      </c>
      <c r="B78" t="s">
        <v>15</v>
      </c>
      <c r="C78">
        <v>37</v>
      </c>
      <c r="D78" t="s">
        <v>16</v>
      </c>
      <c r="E78" s="6">
        <v>44640</v>
      </c>
      <c r="F78" t="s">
        <v>12</v>
      </c>
      <c r="G78" s="7">
        <v>69070</v>
      </c>
      <c r="H78" t="s">
        <v>205</v>
      </c>
      <c r="I78" s="8">
        <f ca="1">(TODAY() - Staff[[#This Row],[Date Joined]]) / 365</f>
        <v>1.6328767123287671</v>
      </c>
      <c r="J78" s="7">
        <f ca="1">IF(Staff[[#This Row],[Tenure]]&gt;2, 3%, 2%) * Staff[[#This Row],[Salary]]</f>
        <v>1381.4</v>
      </c>
      <c r="K78">
        <f>_xlfn.XLOOKUP(Staff[[#This Row],[Rating]], Mapping!C$3:C$7, Mapping!D$3:D$7)</f>
        <v>3</v>
      </c>
      <c r="L78" s="8"/>
    </row>
    <row r="79" spans="1:12" x14ac:dyDescent="0.3">
      <c r="A79" t="s">
        <v>97</v>
      </c>
      <c r="B79" t="s">
        <v>15</v>
      </c>
      <c r="C79">
        <v>37</v>
      </c>
      <c r="D79" t="s">
        <v>16</v>
      </c>
      <c r="E79" s="6">
        <v>44701</v>
      </c>
      <c r="F79" t="s">
        <v>12</v>
      </c>
      <c r="G79" s="7">
        <v>69070</v>
      </c>
      <c r="H79" t="s">
        <v>207</v>
      </c>
      <c r="I79" s="8">
        <f ca="1">(TODAY() - Staff[[#This Row],[Date Joined]]) / 365</f>
        <v>1.4657534246575343</v>
      </c>
      <c r="J79" s="7">
        <f ca="1">IF(Staff[[#This Row],[Tenure]]&gt;2, 3%, 2%) * Staff[[#This Row],[Salary]]</f>
        <v>1381.4</v>
      </c>
      <c r="K79">
        <f>_xlfn.XLOOKUP(Staff[[#This Row],[Rating]], Mapping!C$3:C$7, Mapping!D$3:D$7)</f>
        <v>3</v>
      </c>
      <c r="L79" s="8"/>
    </row>
    <row r="80" spans="1:12" x14ac:dyDescent="0.3">
      <c r="A80" t="s">
        <v>119</v>
      </c>
      <c r="B80" t="s">
        <v>15</v>
      </c>
      <c r="C80">
        <v>30</v>
      </c>
      <c r="D80" t="s">
        <v>16</v>
      </c>
      <c r="E80" s="6">
        <v>44214</v>
      </c>
      <c r="F80" t="s">
        <v>12</v>
      </c>
      <c r="G80" s="7">
        <v>69120</v>
      </c>
      <c r="H80" t="s">
        <v>205</v>
      </c>
      <c r="I80" s="8">
        <f ca="1">(TODAY() - Staff[[#This Row],[Date Joined]]) / 365</f>
        <v>2.8</v>
      </c>
      <c r="J80" s="7">
        <f ca="1">IF(Staff[[#This Row],[Tenure]]&gt;2, 3%, 2%) * Staff[[#This Row],[Salary]]</f>
        <v>2073.6</v>
      </c>
      <c r="K80">
        <f>_xlfn.XLOOKUP(Staff[[#This Row],[Rating]], Mapping!C$3:C$7, Mapping!D$3:D$7)</f>
        <v>3</v>
      </c>
      <c r="L80" s="8"/>
    </row>
    <row r="81" spans="1:12" x14ac:dyDescent="0.3">
      <c r="A81" t="s">
        <v>25</v>
      </c>
      <c r="B81" t="s">
        <v>15</v>
      </c>
      <c r="C81">
        <v>30</v>
      </c>
      <c r="D81" t="s">
        <v>16</v>
      </c>
      <c r="E81" s="6">
        <v>44273</v>
      </c>
      <c r="F81" t="s">
        <v>12</v>
      </c>
      <c r="G81" s="7">
        <v>69120</v>
      </c>
      <c r="H81" t="s">
        <v>207</v>
      </c>
      <c r="I81" s="8">
        <f ca="1">(TODAY() - Staff[[#This Row],[Date Joined]]) / 365</f>
        <v>2.6383561643835618</v>
      </c>
      <c r="J81" s="7">
        <f ca="1">IF(Staff[[#This Row],[Tenure]]&gt;2, 3%, 2%) * Staff[[#This Row],[Salary]]</f>
        <v>2073.6</v>
      </c>
      <c r="K81">
        <f>_xlfn.XLOOKUP(Staff[[#This Row],[Rating]], Mapping!C$3:C$7, Mapping!D$3:D$7)</f>
        <v>3</v>
      </c>
      <c r="L81" s="8"/>
    </row>
    <row r="82" spans="1:12" x14ac:dyDescent="0.3">
      <c r="A82" t="s">
        <v>159</v>
      </c>
      <c r="B82" t="s">
        <v>15</v>
      </c>
      <c r="C82">
        <v>30</v>
      </c>
      <c r="D82" t="s">
        <v>16</v>
      </c>
      <c r="E82" s="6">
        <v>44789</v>
      </c>
      <c r="F82" t="s">
        <v>12</v>
      </c>
      <c r="G82" s="7">
        <v>69710</v>
      </c>
      <c r="H82" t="s">
        <v>205</v>
      </c>
      <c r="I82" s="8">
        <f ca="1">(TODAY() - Staff[[#This Row],[Date Joined]]) / 365</f>
        <v>1.2246575342465753</v>
      </c>
      <c r="J82" s="7">
        <f ca="1">IF(Staff[[#This Row],[Tenure]]&gt;2, 3%, 2%) * Staff[[#This Row],[Salary]]</f>
        <v>1394.2</v>
      </c>
      <c r="K82">
        <f>_xlfn.XLOOKUP(Staff[[#This Row],[Rating]], Mapping!C$3:C$7, Mapping!D$3:D$7)</f>
        <v>3</v>
      </c>
      <c r="L82" s="8"/>
    </row>
    <row r="83" spans="1:12" x14ac:dyDescent="0.3">
      <c r="A83" t="s">
        <v>67</v>
      </c>
      <c r="B83" t="s">
        <v>15</v>
      </c>
      <c r="C83">
        <v>30</v>
      </c>
      <c r="D83" t="s">
        <v>16</v>
      </c>
      <c r="E83" s="6">
        <v>44850</v>
      </c>
      <c r="F83" t="s">
        <v>12</v>
      </c>
      <c r="G83" s="7">
        <v>69710</v>
      </c>
      <c r="H83" t="s">
        <v>207</v>
      </c>
      <c r="I83" s="8">
        <f ca="1">(TODAY() - Staff[[#This Row],[Date Joined]]) / 365</f>
        <v>1.0575342465753426</v>
      </c>
      <c r="J83" s="7">
        <f ca="1">IF(Staff[[#This Row],[Tenure]]&gt;2, 3%, 2%) * Staff[[#This Row],[Salary]]</f>
        <v>1394.2</v>
      </c>
      <c r="K83">
        <f>_xlfn.XLOOKUP(Staff[[#This Row],[Rating]], Mapping!C$3:C$7, Mapping!D$3:D$7)</f>
        <v>3</v>
      </c>
      <c r="L83" s="8"/>
    </row>
    <row r="84" spans="1:12" x14ac:dyDescent="0.3">
      <c r="A84" t="s">
        <v>183</v>
      </c>
      <c r="B84" t="s">
        <v>15</v>
      </c>
      <c r="C84">
        <v>42</v>
      </c>
      <c r="D84" t="s">
        <v>24</v>
      </c>
      <c r="E84" s="6">
        <v>44670</v>
      </c>
      <c r="F84" t="s">
        <v>21</v>
      </c>
      <c r="G84" s="7">
        <v>70270</v>
      </c>
      <c r="H84" t="s">
        <v>205</v>
      </c>
      <c r="I84" s="8">
        <f ca="1">(TODAY() - Staff[[#This Row],[Date Joined]]) / 365</f>
        <v>1.5506849315068494</v>
      </c>
      <c r="J84" s="7">
        <f ca="1">IF(Staff[[#This Row],[Tenure]]&gt;2, 3%, 2%) * Staff[[#This Row],[Salary]]</f>
        <v>1405.4</v>
      </c>
      <c r="K84">
        <f>_xlfn.XLOOKUP(Staff[[#This Row],[Rating]], Mapping!C$3:C$7, Mapping!D$3:D$7)</f>
        <v>2</v>
      </c>
      <c r="L84" s="8"/>
    </row>
    <row r="85" spans="1:12" x14ac:dyDescent="0.3">
      <c r="A85" t="s">
        <v>90</v>
      </c>
      <c r="B85" t="s">
        <v>15</v>
      </c>
      <c r="C85">
        <v>42</v>
      </c>
      <c r="D85" t="s">
        <v>24</v>
      </c>
      <c r="E85" s="6">
        <v>44731</v>
      </c>
      <c r="F85" t="s">
        <v>21</v>
      </c>
      <c r="G85" s="7">
        <v>70270</v>
      </c>
      <c r="H85" t="s">
        <v>207</v>
      </c>
      <c r="I85" s="8">
        <f ca="1">(TODAY() - Staff[[#This Row],[Date Joined]]) / 365</f>
        <v>1.3835616438356164</v>
      </c>
      <c r="J85" s="7">
        <f ca="1">IF(Staff[[#This Row],[Tenure]]&gt;2, 3%, 2%) * Staff[[#This Row],[Salary]]</f>
        <v>1405.4</v>
      </c>
      <c r="K85">
        <f>_xlfn.XLOOKUP(Staff[[#This Row],[Rating]], Mapping!C$3:C$7, Mapping!D$3:D$7)</f>
        <v>2</v>
      </c>
      <c r="L85" s="8"/>
    </row>
    <row r="86" spans="1:12" x14ac:dyDescent="0.3">
      <c r="A86" t="s">
        <v>162</v>
      </c>
      <c r="B86" t="s">
        <v>15</v>
      </c>
      <c r="C86">
        <v>46</v>
      </c>
      <c r="D86" t="s">
        <v>16</v>
      </c>
      <c r="E86" s="6">
        <v>44697</v>
      </c>
      <c r="F86" t="s">
        <v>9</v>
      </c>
      <c r="G86" s="7">
        <v>70610</v>
      </c>
      <c r="H86" t="s">
        <v>205</v>
      </c>
      <c r="I86" s="8">
        <f ca="1">(TODAY() - Staff[[#This Row],[Date Joined]]) / 365</f>
        <v>1.4767123287671233</v>
      </c>
      <c r="J86" s="7">
        <f ca="1">IF(Staff[[#This Row],[Tenure]]&gt;2, 3%, 2%) * Staff[[#This Row],[Salary]]</f>
        <v>1412.2</v>
      </c>
      <c r="K86">
        <f>_xlfn.XLOOKUP(Staff[[#This Row],[Rating]], Mapping!C$3:C$7, Mapping!D$3:D$7)</f>
        <v>3</v>
      </c>
      <c r="L86" s="8"/>
    </row>
    <row r="87" spans="1:12" x14ac:dyDescent="0.3">
      <c r="A87" t="s">
        <v>70</v>
      </c>
      <c r="B87" t="s">
        <v>15</v>
      </c>
      <c r="C87">
        <v>46</v>
      </c>
      <c r="D87" t="s">
        <v>16</v>
      </c>
      <c r="E87" s="6">
        <v>44758</v>
      </c>
      <c r="F87" t="s">
        <v>9</v>
      </c>
      <c r="G87" s="7">
        <v>70610</v>
      </c>
      <c r="H87" t="s">
        <v>207</v>
      </c>
      <c r="I87" s="8">
        <f ca="1">(TODAY() - Staff[[#This Row],[Date Joined]]) / 365</f>
        <v>1.3095890410958904</v>
      </c>
      <c r="J87" s="7">
        <f ca="1">IF(Staff[[#This Row],[Tenure]]&gt;2, 3%, 2%) * Staff[[#This Row],[Salary]]</f>
        <v>1412.2</v>
      </c>
      <c r="K87">
        <f>_xlfn.XLOOKUP(Staff[[#This Row],[Rating]], Mapping!C$3:C$7, Mapping!D$3:D$7)</f>
        <v>3</v>
      </c>
      <c r="L87" s="8"/>
    </row>
    <row r="88" spans="1:12" x14ac:dyDescent="0.3">
      <c r="A88" t="s">
        <v>187</v>
      </c>
      <c r="B88" t="s">
        <v>15</v>
      </c>
      <c r="C88">
        <v>36</v>
      </c>
      <c r="D88" t="s">
        <v>16</v>
      </c>
      <c r="E88" s="6">
        <v>44272</v>
      </c>
      <c r="F88" t="s">
        <v>21</v>
      </c>
      <c r="G88" s="7">
        <v>71380</v>
      </c>
      <c r="H88" t="s">
        <v>205</v>
      </c>
      <c r="I88" s="8">
        <f ca="1">(TODAY() - Staff[[#This Row],[Date Joined]]) / 365</f>
        <v>2.6410958904109587</v>
      </c>
      <c r="J88" s="7">
        <f ca="1">IF(Staff[[#This Row],[Tenure]]&gt;2, 3%, 2%) * Staff[[#This Row],[Salary]]</f>
        <v>2141.4</v>
      </c>
      <c r="K88">
        <f>_xlfn.XLOOKUP(Staff[[#This Row],[Rating]], Mapping!C$3:C$7, Mapping!D$3:D$7)</f>
        <v>3</v>
      </c>
      <c r="L88" s="8"/>
    </row>
    <row r="89" spans="1:12" x14ac:dyDescent="0.3">
      <c r="A89" t="s">
        <v>94</v>
      </c>
      <c r="B89" t="s">
        <v>15</v>
      </c>
      <c r="C89">
        <v>36</v>
      </c>
      <c r="D89" t="s">
        <v>16</v>
      </c>
      <c r="E89" s="6">
        <v>44333</v>
      </c>
      <c r="F89" t="s">
        <v>21</v>
      </c>
      <c r="G89" s="7">
        <v>71380</v>
      </c>
      <c r="H89" t="s">
        <v>207</v>
      </c>
      <c r="I89" s="8">
        <f ca="1">(TODAY() - Staff[[#This Row],[Date Joined]]) / 365</f>
        <v>2.473972602739726</v>
      </c>
      <c r="J89" s="7">
        <f ca="1">IF(Staff[[#This Row],[Tenure]]&gt;2, 3%, 2%) * Staff[[#This Row],[Salary]]</f>
        <v>2141.4</v>
      </c>
      <c r="K89">
        <f>_xlfn.XLOOKUP(Staff[[#This Row],[Rating]], Mapping!C$3:C$7, Mapping!D$3:D$7)</f>
        <v>3</v>
      </c>
      <c r="L89" s="8"/>
    </row>
    <row r="90" spans="1:12" x14ac:dyDescent="0.3">
      <c r="A90" t="s">
        <v>115</v>
      </c>
      <c r="B90" t="s">
        <v>15</v>
      </c>
      <c r="C90">
        <v>33</v>
      </c>
      <c r="D90" t="s">
        <v>16</v>
      </c>
      <c r="E90" s="6">
        <v>44324</v>
      </c>
      <c r="F90" t="s">
        <v>19</v>
      </c>
      <c r="G90" s="7">
        <v>74550</v>
      </c>
      <c r="H90" t="s">
        <v>205</v>
      </c>
      <c r="I90" s="8">
        <f ca="1">(TODAY() - Staff[[#This Row],[Date Joined]]) / 365</f>
        <v>2.4986301369863013</v>
      </c>
      <c r="J90" s="7">
        <f ca="1">IF(Staff[[#This Row],[Tenure]]&gt;2, 3%, 2%) * Staff[[#This Row],[Salary]]</f>
        <v>2236.5</v>
      </c>
      <c r="K90">
        <f>_xlfn.XLOOKUP(Staff[[#This Row],[Rating]], Mapping!C$3:C$7, Mapping!D$3:D$7)</f>
        <v>3</v>
      </c>
      <c r="L90" s="8"/>
    </row>
    <row r="91" spans="1:12" x14ac:dyDescent="0.3">
      <c r="A91" t="s">
        <v>18</v>
      </c>
      <c r="B91" t="s">
        <v>15</v>
      </c>
      <c r="C91">
        <v>33</v>
      </c>
      <c r="D91" t="s">
        <v>16</v>
      </c>
      <c r="E91" s="6">
        <v>44385</v>
      </c>
      <c r="F91" t="s">
        <v>19</v>
      </c>
      <c r="G91" s="7">
        <v>74550</v>
      </c>
      <c r="H91" t="s">
        <v>207</v>
      </c>
      <c r="I91" s="8">
        <f ca="1">(TODAY() - Staff[[#This Row],[Date Joined]]) / 365</f>
        <v>2.3315068493150686</v>
      </c>
      <c r="J91" s="7">
        <f ca="1">IF(Staff[[#This Row],[Tenure]]&gt;2, 3%, 2%) * Staff[[#This Row],[Salary]]</f>
        <v>2236.5</v>
      </c>
      <c r="K91">
        <f>_xlfn.XLOOKUP(Staff[[#This Row],[Rating]], Mapping!C$3:C$7, Mapping!D$3:D$7)</f>
        <v>3</v>
      </c>
      <c r="L91" s="8"/>
    </row>
    <row r="92" spans="1:12" x14ac:dyDescent="0.3">
      <c r="A92" t="s">
        <v>111</v>
      </c>
      <c r="B92" t="s">
        <v>8</v>
      </c>
      <c r="C92">
        <v>42</v>
      </c>
      <c r="D92" t="s">
        <v>10</v>
      </c>
      <c r="E92" s="6">
        <v>44718</v>
      </c>
      <c r="F92" t="s">
        <v>9</v>
      </c>
      <c r="G92" s="7">
        <v>75000</v>
      </c>
      <c r="H92" t="s">
        <v>205</v>
      </c>
      <c r="I92" s="8">
        <f ca="1">(TODAY() - Staff[[#This Row],[Date Joined]]) / 365</f>
        <v>1.4191780821917808</v>
      </c>
      <c r="J92" s="7">
        <f ca="1">IF(Staff[[#This Row],[Tenure]]&gt;2, 3%, 2%) * Staff[[#This Row],[Salary]]</f>
        <v>1500</v>
      </c>
      <c r="K92">
        <f>_xlfn.XLOOKUP(Staff[[#This Row],[Rating]], Mapping!C$3:C$7, Mapping!D$3:D$7)</f>
        <v>5</v>
      </c>
      <c r="L92" s="8"/>
    </row>
    <row r="93" spans="1:12" x14ac:dyDescent="0.3">
      <c r="A93" t="s">
        <v>7</v>
      </c>
      <c r="B93" t="s">
        <v>8</v>
      </c>
      <c r="C93">
        <v>42</v>
      </c>
      <c r="D93" t="s">
        <v>10</v>
      </c>
      <c r="E93" s="6">
        <v>44779</v>
      </c>
      <c r="F93" t="s">
        <v>9</v>
      </c>
      <c r="G93" s="7">
        <v>75000</v>
      </c>
      <c r="H93" t="s">
        <v>207</v>
      </c>
      <c r="I93" s="8">
        <f ca="1">(TODAY() - Staff[[#This Row],[Date Joined]]) / 365</f>
        <v>1.252054794520548</v>
      </c>
      <c r="J93" s="7">
        <f ca="1">IF(Staff[[#This Row],[Tenure]]&gt;2, 3%, 2%) * Staff[[#This Row],[Salary]]</f>
        <v>1500</v>
      </c>
      <c r="K93">
        <f>_xlfn.XLOOKUP(Staff[[#This Row],[Rating]], Mapping!C$3:C$7, Mapping!D$3:D$7)</f>
        <v>5</v>
      </c>
      <c r="L93" s="8"/>
    </row>
    <row r="94" spans="1:12" x14ac:dyDescent="0.3">
      <c r="A94" t="s">
        <v>188</v>
      </c>
      <c r="B94" t="s">
        <v>8</v>
      </c>
      <c r="C94">
        <v>33</v>
      </c>
      <c r="D94" t="s">
        <v>16</v>
      </c>
      <c r="E94" s="6">
        <v>44253</v>
      </c>
      <c r="F94" t="s">
        <v>12</v>
      </c>
      <c r="G94" s="7">
        <v>75280</v>
      </c>
      <c r="H94" t="s">
        <v>205</v>
      </c>
      <c r="I94" s="8">
        <f ca="1">(TODAY() - Staff[[#This Row],[Date Joined]]) / 365</f>
        <v>2.6931506849315068</v>
      </c>
      <c r="J94" s="7">
        <f ca="1">IF(Staff[[#This Row],[Tenure]]&gt;2, 3%, 2%) * Staff[[#This Row],[Salary]]</f>
        <v>2258.4</v>
      </c>
      <c r="K94">
        <f>_xlfn.XLOOKUP(Staff[[#This Row],[Rating]], Mapping!C$3:C$7, Mapping!D$3:D$7)</f>
        <v>3</v>
      </c>
      <c r="L94" s="8"/>
    </row>
    <row r="95" spans="1:12" x14ac:dyDescent="0.3">
      <c r="A95" t="s">
        <v>95</v>
      </c>
      <c r="B95" t="s">
        <v>8</v>
      </c>
      <c r="C95">
        <v>33</v>
      </c>
      <c r="D95" t="s">
        <v>16</v>
      </c>
      <c r="E95" s="6">
        <v>44312</v>
      </c>
      <c r="F95" t="s">
        <v>12</v>
      </c>
      <c r="G95" s="7">
        <v>75280</v>
      </c>
      <c r="H95" t="s">
        <v>207</v>
      </c>
      <c r="I95" s="8">
        <f ca="1">(TODAY() - Staff[[#This Row],[Date Joined]]) / 365</f>
        <v>2.5315068493150683</v>
      </c>
      <c r="J95" s="7">
        <f ca="1">IF(Staff[[#This Row],[Tenure]]&gt;2, 3%, 2%) * Staff[[#This Row],[Salary]]</f>
        <v>2258.4</v>
      </c>
      <c r="K95">
        <f>_xlfn.XLOOKUP(Staff[[#This Row],[Rating]], Mapping!C$3:C$7, Mapping!D$3:D$7)</f>
        <v>3</v>
      </c>
      <c r="L95" s="8"/>
    </row>
    <row r="96" spans="1:12" x14ac:dyDescent="0.3">
      <c r="A96" t="s">
        <v>135</v>
      </c>
      <c r="B96" t="s">
        <v>8</v>
      </c>
      <c r="C96">
        <v>33</v>
      </c>
      <c r="D96" t="s">
        <v>42</v>
      </c>
      <c r="E96" s="6">
        <v>44313</v>
      </c>
      <c r="F96" t="s">
        <v>12</v>
      </c>
      <c r="G96" s="7">
        <v>75480</v>
      </c>
      <c r="H96" t="s">
        <v>205</v>
      </c>
      <c r="I96" s="8">
        <f ca="1">(TODAY() - Staff[[#This Row],[Date Joined]]) / 365</f>
        <v>2.5287671232876714</v>
      </c>
      <c r="J96" s="7">
        <f ca="1">IF(Staff[[#This Row],[Tenure]]&gt;2, 3%, 2%) * Staff[[#This Row],[Salary]]</f>
        <v>2264.4</v>
      </c>
      <c r="K96">
        <f>_xlfn.XLOOKUP(Staff[[#This Row],[Rating]], Mapping!C$3:C$7, Mapping!D$3:D$7)</f>
        <v>1</v>
      </c>
      <c r="L96" s="8"/>
    </row>
    <row r="97" spans="1:12" x14ac:dyDescent="0.3">
      <c r="A97" t="s">
        <v>41</v>
      </c>
      <c r="B97" t="s">
        <v>8</v>
      </c>
      <c r="C97">
        <v>33</v>
      </c>
      <c r="D97" t="s">
        <v>42</v>
      </c>
      <c r="E97" s="6">
        <v>44374</v>
      </c>
      <c r="F97" t="s">
        <v>12</v>
      </c>
      <c r="G97" s="7">
        <v>75480</v>
      </c>
      <c r="H97" t="s">
        <v>207</v>
      </c>
      <c r="I97" s="8">
        <f ca="1">(TODAY() - Staff[[#This Row],[Date Joined]]) / 365</f>
        <v>2.3616438356164382</v>
      </c>
      <c r="J97" s="7">
        <f ca="1">IF(Staff[[#This Row],[Tenure]]&gt;2, 3%, 2%) * Staff[[#This Row],[Salary]]</f>
        <v>2264.4</v>
      </c>
      <c r="K97">
        <f>_xlfn.XLOOKUP(Staff[[#This Row],[Rating]], Mapping!C$3:C$7, Mapping!D$3:D$7)</f>
        <v>1</v>
      </c>
      <c r="L97" s="8"/>
    </row>
    <row r="98" spans="1:12" x14ac:dyDescent="0.3">
      <c r="A98" t="s">
        <v>170</v>
      </c>
      <c r="B98" t="s">
        <v>15</v>
      </c>
      <c r="C98">
        <v>21</v>
      </c>
      <c r="D98" t="s">
        <v>16</v>
      </c>
      <c r="E98" s="6">
        <v>44180</v>
      </c>
      <c r="F98" t="s">
        <v>56</v>
      </c>
      <c r="G98" s="7">
        <v>75880</v>
      </c>
      <c r="H98" t="s">
        <v>205</v>
      </c>
      <c r="I98" s="8">
        <f ca="1">(TODAY() - Staff[[#This Row],[Date Joined]]) / 365</f>
        <v>2.893150684931507</v>
      </c>
      <c r="J98" s="7">
        <f ca="1">IF(Staff[[#This Row],[Tenure]]&gt;2, 3%, 2%) * Staff[[#This Row],[Salary]]</f>
        <v>2276.4</v>
      </c>
      <c r="K98">
        <f>_xlfn.XLOOKUP(Staff[[#This Row],[Rating]], Mapping!C$3:C$7, Mapping!D$3:D$7)</f>
        <v>3</v>
      </c>
      <c r="L98" s="8"/>
    </row>
    <row r="99" spans="1:12" x14ac:dyDescent="0.3">
      <c r="A99" t="s">
        <v>78</v>
      </c>
      <c r="B99" t="s">
        <v>15</v>
      </c>
      <c r="C99">
        <v>21</v>
      </c>
      <c r="D99" t="s">
        <v>16</v>
      </c>
      <c r="E99" s="6">
        <v>44242</v>
      </c>
      <c r="F99" t="s">
        <v>56</v>
      </c>
      <c r="G99" s="7">
        <v>75880</v>
      </c>
      <c r="H99" t="s">
        <v>207</v>
      </c>
      <c r="I99" s="8">
        <f ca="1">(TODAY() - Staff[[#This Row],[Date Joined]]) / 365</f>
        <v>2.7232876712328768</v>
      </c>
      <c r="J99" s="7">
        <f ca="1">IF(Staff[[#This Row],[Tenure]]&gt;2, 3%, 2%) * Staff[[#This Row],[Salary]]</f>
        <v>2276.4</v>
      </c>
      <c r="K99">
        <f>_xlfn.XLOOKUP(Staff[[#This Row],[Rating]], Mapping!C$3:C$7, Mapping!D$3:D$7)</f>
        <v>3</v>
      </c>
      <c r="L99" s="8"/>
    </row>
    <row r="100" spans="1:12" x14ac:dyDescent="0.3">
      <c r="A100" t="s">
        <v>129</v>
      </c>
      <c r="B100" t="s">
        <v>8</v>
      </c>
      <c r="C100">
        <v>28</v>
      </c>
      <c r="D100" t="s">
        <v>16</v>
      </c>
      <c r="E100" s="6">
        <v>44124</v>
      </c>
      <c r="F100" t="s">
        <v>21</v>
      </c>
      <c r="G100" s="7">
        <v>75970</v>
      </c>
      <c r="H100" t="s">
        <v>205</v>
      </c>
      <c r="I100" s="8">
        <f ca="1">(TODAY() - Staff[[#This Row],[Date Joined]]) / 365</f>
        <v>3.0465753424657533</v>
      </c>
      <c r="J100" s="7">
        <f ca="1">IF(Staff[[#This Row],[Tenure]]&gt;2, 3%, 2%) * Staff[[#This Row],[Salary]]</f>
        <v>2279.1</v>
      </c>
      <c r="K100">
        <f>_xlfn.XLOOKUP(Staff[[#This Row],[Rating]], Mapping!C$3:C$7, Mapping!D$3:D$7)</f>
        <v>3</v>
      </c>
      <c r="L100" s="8"/>
    </row>
    <row r="101" spans="1:12" x14ac:dyDescent="0.3">
      <c r="A101" t="s">
        <v>35</v>
      </c>
      <c r="B101" t="s">
        <v>8</v>
      </c>
      <c r="C101">
        <v>28</v>
      </c>
      <c r="D101" t="s">
        <v>16</v>
      </c>
      <c r="E101" s="6">
        <v>44185</v>
      </c>
      <c r="F101" t="s">
        <v>21</v>
      </c>
      <c r="G101" s="7">
        <v>75970</v>
      </c>
      <c r="H101" t="s">
        <v>207</v>
      </c>
      <c r="I101" s="8">
        <f ca="1">(TODAY() - Staff[[#This Row],[Date Joined]]) / 365</f>
        <v>2.8794520547945206</v>
      </c>
      <c r="J101" s="7">
        <f ca="1">IF(Staff[[#This Row],[Tenure]]&gt;2, 3%, 2%) * Staff[[#This Row],[Salary]]</f>
        <v>2279.1</v>
      </c>
      <c r="K101">
        <f>_xlfn.XLOOKUP(Staff[[#This Row],[Rating]], Mapping!C$3:C$7, Mapping!D$3:D$7)</f>
        <v>3</v>
      </c>
      <c r="L101" s="8"/>
    </row>
    <row r="102" spans="1:12" x14ac:dyDescent="0.3">
      <c r="A102" t="s">
        <v>154</v>
      </c>
      <c r="B102" t="s">
        <v>8</v>
      </c>
      <c r="C102">
        <v>22</v>
      </c>
      <c r="D102" t="s">
        <v>13</v>
      </c>
      <c r="E102" s="6">
        <v>44388</v>
      </c>
      <c r="F102" t="s">
        <v>9</v>
      </c>
      <c r="G102" s="7">
        <v>76900</v>
      </c>
      <c r="H102" t="s">
        <v>205</v>
      </c>
      <c r="I102" s="8">
        <f ca="1">(TODAY() - Staff[[#This Row],[Date Joined]]) / 365</f>
        <v>2.3232876712328765</v>
      </c>
      <c r="J102" s="7">
        <f ca="1">IF(Staff[[#This Row],[Tenure]]&gt;2, 3%, 2%) * Staff[[#This Row],[Salary]]</f>
        <v>2307</v>
      </c>
      <c r="K102">
        <f>_xlfn.XLOOKUP(Staff[[#This Row],[Rating]], Mapping!C$3:C$7, Mapping!D$3:D$7)</f>
        <v>4</v>
      </c>
      <c r="L102" s="8"/>
    </row>
    <row r="103" spans="1:12" x14ac:dyDescent="0.3">
      <c r="A103" t="s">
        <v>62</v>
      </c>
      <c r="B103" t="s">
        <v>8</v>
      </c>
      <c r="C103">
        <v>22</v>
      </c>
      <c r="D103" t="s">
        <v>13</v>
      </c>
      <c r="E103" s="6">
        <v>44450</v>
      </c>
      <c r="F103" t="s">
        <v>9</v>
      </c>
      <c r="G103" s="7">
        <v>76900</v>
      </c>
      <c r="H103" t="s">
        <v>207</v>
      </c>
      <c r="I103" s="8">
        <f ca="1">(TODAY() - Staff[[#This Row],[Date Joined]]) / 365</f>
        <v>2.1534246575342464</v>
      </c>
      <c r="J103" s="7">
        <f ca="1">IF(Staff[[#This Row],[Tenure]]&gt;2, 3%, 2%) * Staff[[#This Row],[Salary]]</f>
        <v>2307</v>
      </c>
      <c r="K103">
        <f>_xlfn.XLOOKUP(Staff[[#This Row],[Rating]], Mapping!C$3:C$7, Mapping!D$3:D$7)</f>
        <v>4</v>
      </c>
      <c r="L103" s="8"/>
    </row>
    <row r="104" spans="1:12" x14ac:dyDescent="0.3">
      <c r="A104" t="s">
        <v>164</v>
      </c>
      <c r="B104" t="s">
        <v>8</v>
      </c>
      <c r="C104">
        <v>36</v>
      </c>
      <c r="D104" t="s">
        <v>16</v>
      </c>
      <c r="E104" s="6">
        <v>44468</v>
      </c>
      <c r="F104" t="s">
        <v>9</v>
      </c>
      <c r="G104" s="7">
        <v>78390</v>
      </c>
      <c r="H104" t="s">
        <v>205</v>
      </c>
      <c r="I104" s="8">
        <f ca="1">(TODAY() - Staff[[#This Row],[Date Joined]]) / 365</f>
        <v>2.1041095890410957</v>
      </c>
      <c r="J104" s="7">
        <f ca="1">IF(Staff[[#This Row],[Tenure]]&gt;2, 3%, 2%) * Staff[[#This Row],[Salary]]</f>
        <v>2351.6999999999998</v>
      </c>
      <c r="K104">
        <f>_xlfn.XLOOKUP(Staff[[#This Row],[Rating]], Mapping!C$3:C$7, Mapping!D$3:D$7)</f>
        <v>3</v>
      </c>
      <c r="L104" s="8"/>
    </row>
    <row r="105" spans="1:12" x14ac:dyDescent="0.3">
      <c r="A105" t="s">
        <v>72</v>
      </c>
      <c r="B105" t="s">
        <v>8</v>
      </c>
      <c r="C105">
        <v>36</v>
      </c>
      <c r="D105" t="s">
        <v>16</v>
      </c>
      <c r="E105" s="6">
        <v>44529</v>
      </c>
      <c r="F105" t="s">
        <v>9</v>
      </c>
      <c r="G105" s="7">
        <v>78390</v>
      </c>
      <c r="H105" t="s">
        <v>207</v>
      </c>
      <c r="I105" s="8">
        <f ca="1">(TODAY() - Staff[[#This Row],[Date Joined]]) / 365</f>
        <v>1.9369863013698629</v>
      </c>
      <c r="J105" s="7">
        <f ca="1">IF(Staff[[#This Row],[Tenure]]&gt;2, 3%, 2%) * Staff[[#This Row],[Salary]]</f>
        <v>1567.8</v>
      </c>
      <c r="K105">
        <f>_xlfn.XLOOKUP(Staff[[#This Row],[Rating]], Mapping!C$3:C$7, Mapping!D$3:D$7)</f>
        <v>3</v>
      </c>
      <c r="L105" s="8"/>
    </row>
    <row r="106" spans="1:12" x14ac:dyDescent="0.3">
      <c r="A106" t="s">
        <v>141</v>
      </c>
      <c r="B106" t="s">
        <v>8</v>
      </c>
      <c r="C106">
        <v>36</v>
      </c>
      <c r="D106" t="s">
        <v>16</v>
      </c>
      <c r="E106" s="6">
        <v>44433</v>
      </c>
      <c r="F106" t="s">
        <v>19</v>
      </c>
      <c r="G106" s="7">
        <v>78540</v>
      </c>
      <c r="H106" t="s">
        <v>205</v>
      </c>
      <c r="I106" s="8">
        <f ca="1">(TODAY() - Staff[[#This Row],[Date Joined]]) / 365</f>
        <v>2.2000000000000002</v>
      </c>
      <c r="J106" s="7">
        <f ca="1">IF(Staff[[#This Row],[Tenure]]&gt;2, 3%, 2%) * Staff[[#This Row],[Salary]]</f>
        <v>2356.1999999999998</v>
      </c>
      <c r="K106">
        <f>_xlfn.XLOOKUP(Staff[[#This Row],[Rating]], Mapping!C$3:C$7, Mapping!D$3:D$7)</f>
        <v>3</v>
      </c>
      <c r="L106" s="8"/>
    </row>
    <row r="107" spans="1:12" x14ac:dyDescent="0.3">
      <c r="A107" t="s">
        <v>48</v>
      </c>
      <c r="B107" t="s">
        <v>8</v>
      </c>
      <c r="C107">
        <v>36</v>
      </c>
      <c r="D107" t="s">
        <v>16</v>
      </c>
      <c r="E107" s="6">
        <v>44494</v>
      </c>
      <c r="F107" t="s">
        <v>19</v>
      </c>
      <c r="G107" s="7">
        <v>78540</v>
      </c>
      <c r="H107" t="s">
        <v>207</v>
      </c>
      <c r="I107" s="8">
        <f ca="1">(TODAY() - Staff[[#This Row],[Date Joined]]) / 365</f>
        <v>2.032876712328767</v>
      </c>
      <c r="J107" s="7">
        <f ca="1">IF(Staff[[#This Row],[Tenure]]&gt;2, 3%, 2%) * Staff[[#This Row],[Salary]]</f>
        <v>2356.1999999999998</v>
      </c>
      <c r="K107">
        <f>_xlfn.XLOOKUP(Staff[[#This Row],[Rating]], Mapping!C$3:C$7, Mapping!D$3:D$7)</f>
        <v>3</v>
      </c>
      <c r="L107" s="8"/>
    </row>
    <row r="108" spans="1:12" x14ac:dyDescent="0.3">
      <c r="A108" t="s">
        <v>197</v>
      </c>
      <c r="B108" t="s">
        <v>15</v>
      </c>
      <c r="C108">
        <v>20</v>
      </c>
      <c r="D108" t="s">
        <v>16</v>
      </c>
      <c r="E108" s="6">
        <v>44683</v>
      </c>
      <c r="F108" t="s">
        <v>9</v>
      </c>
      <c r="G108" s="7">
        <v>79570</v>
      </c>
      <c r="H108" t="s">
        <v>205</v>
      </c>
      <c r="I108" s="8">
        <f ca="1">(TODAY() - Staff[[#This Row],[Date Joined]]) / 365</f>
        <v>1.515068493150685</v>
      </c>
      <c r="J108" s="7">
        <f ca="1">IF(Staff[[#This Row],[Tenure]]&gt;2, 3%, 2%) * Staff[[#This Row],[Salary]]</f>
        <v>1591.4</v>
      </c>
      <c r="K108">
        <f>_xlfn.XLOOKUP(Staff[[#This Row],[Rating]], Mapping!C$3:C$7, Mapping!D$3:D$7)</f>
        <v>3</v>
      </c>
      <c r="L108" s="8"/>
    </row>
    <row r="109" spans="1:12" x14ac:dyDescent="0.3">
      <c r="A109" t="s">
        <v>104</v>
      </c>
      <c r="B109" t="s">
        <v>15</v>
      </c>
      <c r="C109">
        <v>20</v>
      </c>
      <c r="D109" t="s">
        <v>16</v>
      </c>
      <c r="E109" s="6">
        <v>44744</v>
      </c>
      <c r="F109" t="s">
        <v>9</v>
      </c>
      <c r="G109" s="7">
        <v>79570</v>
      </c>
      <c r="H109" t="s">
        <v>207</v>
      </c>
      <c r="I109" s="8">
        <f ca="1">(TODAY() - Staff[[#This Row],[Date Joined]]) / 365</f>
        <v>1.3479452054794521</v>
      </c>
      <c r="J109" s="7">
        <f ca="1">IF(Staff[[#This Row],[Tenure]]&gt;2, 3%, 2%) * Staff[[#This Row],[Salary]]</f>
        <v>1591.4</v>
      </c>
      <c r="K109">
        <f>_xlfn.XLOOKUP(Staff[[#This Row],[Rating]], Mapping!C$3:C$7, Mapping!D$3:D$7)</f>
        <v>3</v>
      </c>
      <c r="L109" s="8"/>
    </row>
    <row r="110" spans="1:12" x14ac:dyDescent="0.3">
      <c r="A110" t="s">
        <v>133</v>
      </c>
      <c r="B110" t="s">
        <v>8</v>
      </c>
      <c r="C110">
        <v>25</v>
      </c>
      <c r="D110" t="s">
        <v>13</v>
      </c>
      <c r="E110" s="6">
        <v>44633</v>
      </c>
      <c r="F110" t="s">
        <v>12</v>
      </c>
      <c r="G110" s="7">
        <v>80700</v>
      </c>
      <c r="H110" t="s">
        <v>205</v>
      </c>
      <c r="I110" s="8">
        <f ca="1">(TODAY() - Staff[[#This Row],[Date Joined]]) / 365</f>
        <v>1.6520547945205479</v>
      </c>
      <c r="J110" s="7">
        <f ca="1">IF(Staff[[#This Row],[Tenure]]&gt;2, 3%, 2%) * Staff[[#This Row],[Salary]]</f>
        <v>1614</v>
      </c>
      <c r="K110">
        <f>_xlfn.XLOOKUP(Staff[[#This Row],[Rating]], Mapping!C$3:C$7, Mapping!D$3:D$7)</f>
        <v>4</v>
      </c>
      <c r="L110" s="8"/>
    </row>
    <row r="111" spans="1:12" x14ac:dyDescent="0.3">
      <c r="A111" t="s">
        <v>39</v>
      </c>
      <c r="B111" t="s">
        <v>8</v>
      </c>
      <c r="C111">
        <v>25</v>
      </c>
      <c r="D111" t="s">
        <v>13</v>
      </c>
      <c r="E111" s="6">
        <v>44694</v>
      </c>
      <c r="F111" t="s">
        <v>12</v>
      </c>
      <c r="G111" s="7">
        <v>80700</v>
      </c>
      <c r="H111" t="s">
        <v>207</v>
      </c>
      <c r="I111" s="8">
        <f ca="1">(TODAY() - Staff[[#This Row],[Date Joined]]) / 365</f>
        <v>1.484931506849315</v>
      </c>
      <c r="J111" s="7">
        <f ca="1">IF(Staff[[#This Row],[Tenure]]&gt;2, 3%, 2%) * Staff[[#This Row],[Salary]]</f>
        <v>1614</v>
      </c>
      <c r="K111">
        <f>_xlfn.XLOOKUP(Staff[[#This Row],[Rating]], Mapping!C$3:C$7, Mapping!D$3:D$7)</f>
        <v>4</v>
      </c>
      <c r="L111" s="8"/>
    </row>
    <row r="112" spans="1:12" x14ac:dyDescent="0.3">
      <c r="A112" t="s">
        <v>185</v>
      </c>
      <c r="B112" t="s">
        <v>8</v>
      </c>
      <c r="C112">
        <v>27</v>
      </c>
      <c r="D112" t="s">
        <v>16</v>
      </c>
      <c r="E112" s="6">
        <v>44625</v>
      </c>
      <c r="F112" t="s">
        <v>12</v>
      </c>
      <c r="G112" s="7">
        <v>83750</v>
      </c>
      <c r="H112" t="s">
        <v>205</v>
      </c>
      <c r="I112" s="8">
        <f ca="1">(TODAY() - Staff[[#This Row],[Date Joined]]) / 365</f>
        <v>1.6739726027397259</v>
      </c>
      <c r="J112" s="7">
        <f ca="1">IF(Staff[[#This Row],[Tenure]]&gt;2, 3%, 2%) * Staff[[#This Row],[Salary]]</f>
        <v>1675</v>
      </c>
      <c r="K112">
        <f>_xlfn.XLOOKUP(Staff[[#This Row],[Rating]], Mapping!C$3:C$7, Mapping!D$3:D$7)</f>
        <v>3</v>
      </c>
      <c r="L112" s="8"/>
    </row>
    <row r="113" spans="1:12" x14ac:dyDescent="0.3">
      <c r="A113" t="s">
        <v>92</v>
      </c>
      <c r="B113" t="s">
        <v>8</v>
      </c>
      <c r="C113">
        <v>27</v>
      </c>
      <c r="D113" t="s">
        <v>16</v>
      </c>
      <c r="E113" s="6">
        <v>44686</v>
      </c>
      <c r="F113" t="s">
        <v>12</v>
      </c>
      <c r="G113" s="7">
        <v>83750</v>
      </c>
      <c r="H113" t="s">
        <v>207</v>
      </c>
      <c r="I113" s="8">
        <f ca="1">(TODAY() - Staff[[#This Row],[Date Joined]]) / 365</f>
        <v>1.5068493150684932</v>
      </c>
      <c r="J113" s="7">
        <f ca="1">IF(Staff[[#This Row],[Tenure]]&gt;2, 3%, 2%) * Staff[[#This Row],[Salary]]</f>
        <v>1675</v>
      </c>
      <c r="K113">
        <f>_xlfn.XLOOKUP(Staff[[#This Row],[Rating]], Mapping!C$3:C$7, Mapping!D$3:D$7)</f>
        <v>3</v>
      </c>
      <c r="L113" s="8"/>
    </row>
    <row r="114" spans="1:12" x14ac:dyDescent="0.3">
      <c r="A114" t="s">
        <v>122</v>
      </c>
      <c r="B114" t="s">
        <v>8</v>
      </c>
      <c r="C114">
        <v>34</v>
      </c>
      <c r="D114" t="s">
        <v>16</v>
      </c>
      <c r="E114" s="6">
        <v>44397</v>
      </c>
      <c r="F114" t="s">
        <v>21</v>
      </c>
      <c r="G114" s="7">
        <v>85000</v>
      </c>
      <c r="H114" t="s">
        <v>205</v>
      </c>
      <c r="I114" s="8">
        <f ca="1">(TODAY() - Staff[[#This Row],[Date Joined]]) / 365</f>
        <v>2.2986301369863016</v>
      </c>
      <c r="J114" s="7">
        <f ca="1">IF(Staff[[#This Row],[Tenure]]&gt;2, 3%, 2%) * Staff[[#This Row],[Salary]]</f>
        <v>2550</v>
      </c>
      <c r="K114">
        <f>_xlfn.XLOOKUP(Staff[[#This Row],[Rating]], Mapping!C$3:C$7, Mapping!D$3:D$7)</f>
        <v>3</v>
      </c>
      <c r="L114" s="8"/>
    </row>
    <row r="115" spans="1:12" x14ac:dyDescent="0.3">
      <c r="A115" t="s">
        <v>28</v>
      </c>
      <c r="B115" t="s">
        <v>8</v>
      </c>
      <c r="C115">
        <v>34</v>
      </c>
      <c r="D115" t="s">
        <v>16</v>
      </c>
      <c r="E115" s="6">
        <v>44459</v>
      </c>
      <c r="F115" t="s">
        <v>21</v>
      </c>
      <c r="G115" s="7">
        <v>85000</v>
      </c>
      <c r="H115" t="s">
        <v>207</v>
      </c>
      <c r="I115" s="8">
        <f ca="1">(TODAY() - Staff[[#This Row],[Date Joined]]) / 365</f>
        <v>2.128767123287671</v>
      </c>
      <c r="J115" s="7">
        <f ca="1">IF(Staff[[#This Row],[Tenure]]&gt;2, 3%, 2%) * Staff[[#This Row],[Salary]]</f>
        <v>2550</v>
      </c>
      <c r="K115">
        <f>_xlfn.XLOOKUP(Staff[[#This Row],[Rating]], Mapping!C$3:C$7, Mapping!D$3:D$7)</f>
        <v>3</v>
      </c>
      <c r="L115" s="8"/>
    </row>
    <row r="116" spans="1:12" x14ac:dyDescent="0.3">
      <c r="A116" t="s">
        <v>181</v>
      </c>
      <c r="B116" t="s">
        <v>8</v>
      </c>
      <c r="C116">
        <v>33</v>
      </c>
      <c r="D116" t="s">
        <v>16</v>
      </c>
      <c r="E116" s="6">
        <v>44747</v>
      </c>
      <c r="F116" t="s">
        <v>21</v>
      </c>
      <c r="G116" s="7">
        <v>86570</v>
      </c>
      <c r="H116" t="s">
        <v>205</v>
      </c>
      <c r="I116" s="8">
        <f ca="1">(TODAY() - Staff[[#This Row],[Date Joined]]) / 365</f>
        <v>1.3397260273972602</v>
      </c>
      <c r="J116" s="7">
        <f ca="1">IF(Staff[[#This Row],[Tenure]]&gt;2, 3%, 2%) * Staff[[#This Row],[Salary]]</f>
        <v>1731.4</v>
      </c>
      <c r="K116">
        <f>_xlfn.XLOOKUP(Staff[[#This Row],[Rating]], Mapping!C$3:C$7, Mapping!D$3:D$7)</f>
        <v>3</v>
      </c>
      <c r="L116" s="8"/>
    </row>
    <row r="117" spans="1:12" x14ac:dyDescent="0.3">
      <c r="A117" t="s">
        <v>88</v>
      </c>
      <c r="B117" t="s">
        <v>8</v>
      </c>
      <c r="C117">
        <v>33</v>
      </c>
      <c r="D117" t="s">
        <v>16</v>
      </c>
      <c r="E117" s="6">
        <v>44809</v>
      </c>
      <c r="F117" t="s">
        <v>21</v>
      </c>
      <c r="G117" s="7">
        <v>86570</v>
      </c>
      <c r="H117" t="s">
        <v>207</v>
      </c>
      <c r="I117" s="8">
        <f ca="1">(TODAY() - Staff[[#This Row],[Date Joined]]) / 365</f>
        <v>1.1698630136986301</v>
      </c>
      <c r="J117" s="7">
        <f ca="1">IF(Staff[[#This Row],[Tenure]]&gt;2, 3%, 2%) * Staff[[#This Row],[Salary]]</f>
        <v>1731.4</v>
      </c>
      <c r="K117">
        <f>_xlfn.XLOOKUP(Staff[[#This Row],[Rating]], Mapping!C$3:C$7, Mapping!D$3:D$7)</f>
        <v>3</v>
      </c>
      <c r="L117" s="8"/>
    </row>
    <row r="118" spans="1:12" x14ac:dyDescent="0.3">
      <c r="A118" t="s">
        <v>166</v>
      </c>
      <c r="B118" t="s">
        <v>8</v>
      </c>
      <c r="C118">
        <v>40</v>
      </c>
      <c r="D118" t="s">
        <v>16</v>
      </c>
      <c r="E118" s="6">
        <v>44276</v>
      </c>
      <c r="F118" t="s">
        <v>12</v>
      </c>
      <c r="G118" s="7">
        <v>87620</v>
      </c>
      <c r="H118" t="s">
        <v>205</v>
      </c>
      <c r="I118" s="8">
        <f ca="1">(TODAY() - Staff[[#This Row],[Date Joined]]) / 365</f>
        <v>2.6301369863013697</v>
      </c>
      <c r="J118" s="7">
        <f ca="1">IF(Staff[[#This Row],[Tenure]]&gt;2, 3%, 2%) * Staff[[#This Row],[Salary]]</f>
        <v>2628.6</v>
      </c>
      <c r="K118">
        <f>_xlfn.XLOOKUP(Staff[[#This Row],[Rating]], Mapping!C$3:C$7, Mapping!D$3:D$7)</f>
        <v>3</v>
      </c>
      <c r="L118" s="8"/>
    </row>
    <row r="119" spans="1:12" x14ac:dyDescent="0.3">
      <c r="A119" t="s">
        <v>74</v>
      </c>
      <c r="B119" t="s">
        <v>8</v>
      </c>
      <c r="C119">
        <v>40</v>
      </c>
      <c r="D119" t="s">
        <v>16</v>
      </c>
      <c r="E119" s="6">
        <v>44337</v>
      </c>
      <c r="F119" t="s">
        <v>12</v>
      </c>
      <c r="G119" s="7">
        <v>87620</v>
      </c>
      <c r="H119" t="s">
        <v>207</v>
      </c>
      <c r="I119" s="8">
        <f ca="1">(TODAY() - Staff[[#This Row],[Date Joined]]) / 365</f>
        <v>2.463013698630137</v>
      </c>
      <c r="J119" s="7">
        <f ca="1">IF(Staff[[#This Row],[Tenure]]&gt;2, 3%, 2%) * Staff[[#This Row],[Salary]]</f>
        <v>2628.6</v>
      </c>
      <c r="K119">
        <f>_xlfn.XLOOKUP(Staff[[#This Row],[Rating]], Mapping!C$3:C$7, Mapping!D$3:D$7)</f>
        <v>3</v>
      </c>
      <c r="L119" s="8"/>
    </row>
    <row r="120" spans="1:12" x14ac:dyDescent="0.3">
      <c r="A120" t="s">
        <v>118</v>
      </c>
      <c r="B120" t="s">
        <v>15</v>
      </c>
      <c r="C120">
        <v>37</v>
      </c>
      <c r="D120" t="s">
        <v>24</v>
      </c>
      <c r="E120" s="6">
        <v>44277</v>
      </c>
      <c r="F120" t="s">
        <v>12</v>
      </c>
      <c r="G120" s="7">
        <v>88050</v>
      </c>
      <c r="H120" t="s">
        <v>205</v>
      </c>
      <c r="I120" s="8">
        <f ca="1">(TODAY() - Staff[[#This Row],[Date Joined]]) / 365</f>
        <v>2.6273972602739728</v>
      </c>
      <c r="J120" s="7">
        <f ca="1">IF(Staff[[#This Row],[Tenure]]&gt;2, 3%, 2%) * Staff[[#This Row],[Salary]]</f>
        <v>2641.5</v>
      </c>
      <c r="K120">
        <f>_xlfn.XLOOKUP(Staff[[#This Row],[Rating]], Mapping!C$3:C$7, Mapping!D$3:D$7)</f>
        <v>2</v>
      </c>
      <c r="L120" s="8"/>
    </row>
    <row r="121" spans="1:12" x14ac:dyDescent="0.3">
      <c r="A121" t="s">
        <v>23</v>
      </c>
      <c r="B121" t="s">
        <v>15</v>
      </c>
      <c r="C121">
        <v>37</v>
      </c>
      <c r="D121" t="s">
        <v>24</v>
      </c>
      <c r="E121" s="6">
        <v>44338</v>
      </c>
      <c r="F121" t="s">
        <v>12</v>
      </c>
      <c r="G121" s="7">
        <v>88050</v>
      </c>
      <c r="H121" t="s">
        <v>207</v>
      </c>
      <c r="I121" s="8">
        <f ca="1">(TODAY() - Staff[[#This Row],[Date Joined]]) / 365</f>
        <v>2.4602739726027396</v>
      </c>
      <c r="J121" s="7">
        <f ca="1">IF(Staff[[#This Row],[Tenure]]&gt;2, 3%, 2%) * Staff[[#This Row],[Salary]]</f>
        <v>2641.5</v>
      </c>
      <c r="K121">
        <f>_xlfn.XLOOKUP(Staff[[#This Row],[Rating]], Mapping!C$3:C$7, Mapping!D$3:D$7)</f>
        <v>2</v>
      </c>
      <c r="L121" s="8"/>
    </row>
    <row r="122" spans="1:12" x14ac:dyDescent="0.3">
      <c r="A122" t="s">
        <v>112</v>
      </c>
      <c r="B122" t="s">
        <v>206</v>
      </c>
      <c r="C122">
        <v>27</v>
      </c>
      <c r="D122" t="s">
        <v>13</v>
      </c>
      <c r="E122" s="6">
        <v>44212</v>
      </c>
      <c r="F122" t="s">
        <v>12</v>
      </c>
      <c r="G122" s="7">
        <v>90700</v>
      </c>
      <c r="H122" t="s">
        <v>205</v>
      </c>
      <c r="I122" s="8">
        <f ca="1">(TODAY() - Staff[[#This Row],[Date Joined]]) / 365</f>
        <v>2.8054794520547945</v>
      </c>
      <c r="J122" s="7">
        <f ca="1">IF(Staff[[#This Row],[Tenure]]&gt;2, 3%, 2%) * Staff[[#This Row],[Salary]]</f>
        <v>2721</v>
      </c>
      <c r="K122">
        <f>_xlfn.XLOOKUP(Staff[[#This Row],[Rating]], Mapping!C$3:C$7, Mapping!D$3:D$7)</f>
        <v>4</v>
      </c>
      <c r="L122" s="8"/>
    </row>
    <row r="123" spans="1:12" x14ac:dyDescent="0.3">
      <c r="A123" t="s">
        <v>11</v>
      </c>
      <c r="B123" t="s">
        <v>206</v>
      </c>
      <c r="C123">
        <v>26</v>
      </c>
      <c r="D123" t="s">
        <v>13</v>
      </c>
      <c r="E123" s="6">
        <v>44271</v>
      </c>
      <c r="F123" t="s">
        <v>12</v>
      </c>
      <c r="G123" s="7">
        <v>90700</v>
      </c>
      <c r="H123" t="s">
        <v>207</v>
      </c>
      <c r="I123" s="8">
        <f ca="1">(TODAY() - Staff[[#This Row],[Date Joined]]) / 365</f>
        <v>2.6438356164383561</v>
      </c>
      <c r="J123" s="7">
        <f ca="1">IF(Staff[[#This Row],[Tenure]]&gt;2, 3%, 2%) * Staff[[#This Row],[Salary]]</f>
        <v>2721</v>
      </c>
      <c r="K123">
        <f>_xlfn.XLOOKUP(Staff[[#This Row],[Rating]], Mapping!C$3:C$7, Mapping!D$3:D$7)</f>
        <v>4</v>
      </c>
      <c r="L123" s="8"/>
    </row>
    <row r="124" spans="1:12" x14ac:dyDescent="0.3">
      <c r="A124" t="s">
        <v>145</v>
      </c>
      <c r="B124" t="s">
        <v>206</v>
      </c>
      <c r="C124">
        <v>32</v>
      </c>
      <c r="D124" t="s">
        <v>16</v>
      </c>
      <c r="E124" s="6">
        <v>44713</v>
      </c>
      <c r="F124" t="s">
        <v>12</v>
      </c>
      <c r="G124" s="7">
        <v>91310</v>
      </c>
      <c r="H124" t="s">
        <v>205</v>
      </c>
      <c r="I124" s="8">
        <f ca="1">(TODAY() - Staff[[#This Row],[Date Joined]]) / 365</f>
        <v>1.4328767123287671</v>
      </c>
      <c r="J124" s="7">
        <f ca="1">IF(Staff[[#This Row],[Tenure]]&gt;2, 3%, 2%) * Staff[[#This Row],[Salary]]</f>
        <v>1826.2</v>
      </c>
      <c r="K124">
        <f>_xlfn.XLOOKUP(Staff[[#This Row],[Rating]], Mapping!C$3:C$7, Mapping!D$3:D$7)</f>
        <v>3</v>
      </c>
      <c r="L124" s="8"/>
    </row>
    <row r="125" spans="1:12" x14ac:dyDescent="0.3">
      <c r="A125" t="s">
        <v>52</v>
      </c>
      <c r="B125" t="s">
        <v>206</v>
      </c>
      <c r="C125">
        <v>32</v>
      </c>
      <c r="D125" t="s">
        <v>16</v>
      </c>
      <c r="E125" s="6">
        <v>44774</v>
      </c>
      <c r="F125" t="s">
        <v>12</v>
      </c>
      <c r="G125" s="7">
        <v>91310</v>
      </c>
      <c r="H125" t="s">
        <v>207</v>
      </c>
      <c r="I125" s="8">
        <f ca="1">(TODAY() - Staff[[#This Row],[Date Joined]]) / 365</f>
        <v>1.2657534246575342</v>
      </c>
      <c r="J125" s="7">
        <f ca="1">IF(Staff[[#This Row],[Tenure]]&gt;2, 3%, 2%) * Staff[[#This Row],[Salary]]</f>
        <v>1826.2</v>
      </c>
      <c r="K125">
        <f>_xlfn.XLOOKUP(Staff[[#This Row],[Rating]], Mapping!C$3:C$7, Mapping!D$3:D$7)</f>
        <v>3</v>
      </c>
      <c r="L125" s="8"/>
    </row>
    <row r="126" spans="1:12" x14ac:dyDescent="0.3">
      <c r="A126" t="s">
        <v>160</v>
      </c>
      <c r="B126" t="s">
        <v>15</v>
      </c>
      <c r="C126">
        <v>27</v>
      </c>
      <c r="D126" t="s">
        <v>13</v>
      </c>
      <c r="E126" s="6">
        <v>44174</v>
      </c>
      <c r="F126" t="s">
        <v>21</v>
      </c>
      <c r="G126" s="7">
        <v>91650</v>
      </c>
      <c r="H126" t="s">
        <v>205</v>
      </c>
      <c r="I126" s="8">
        <f ca="1">(TODAY() - Staff[[#This Row],[Date Joined]]) / 365</f>
        <v>2.9095890410958902</v>
      </c>
      <c r="J126" s="7">
        <f ca="1">IF(Staff[[#This Row],[Tenure]]&gt;2, 3%, 2%) * Staff[[#This Row],[Salary]]</f>
        <v>2749.5</v>
      </c>
      <c r="K126">
        <f>_xlfn.XLOOKUP(Staff[[#This Row],[Rating]], Mapping!C$3:C$7, Mapping!D$3:D$7)</f>
        <v>4</v>
      </c>
      <c r="L126" s="8"/>
    </row>
    <row r="127" spans="1:12" x14ac:dyDescent="0.3">
      <c r="A127" t="s">
        <v>68</v>
      </c>
      <c r="B127" t="s">
        <v>15</v>
      </c>
      <c r="C127">
        <v>27</v>
      </c>
      <c r="D127" t="s">
        <v>13</v>
      </c>
      <c r="E127" s="6">
        <v>44236</v>
      </c>
      <c r="F127" t="s">
        <v>21</v>
      </c>
      <c r="G127" s="7">
        <v>91650</v>
      </c>
      <c r="H127" t="s">
        <v>207</v>
      </c>
      <c r="I127" s="8">
        <f ca="1">(TODAY() - Staff[[#This Row],[Date Joined]]) / 365</f>
        <v>2.7397260273972601</v>
      </c>
      <c r="J127" s="7">
        <f ca="1">IF(Staff[[#This Row],[Tenure]]&gt;2, 3%, 2%) * Staff[[#This Row],[Salary]]</f>
        <v>2749.5</v>
      </c>
      <c r="K127">
        <f>_xlfn.XLOOKUP(Staff[[#This Row],[Rating]], Mapping!C$3:C$7, Mapping!D$3:D$7)</f>
        <v>4</v>
      </c>
      <c r="L127" s="8"/>
    </row>
    <row r="128" spans="1:12" x14ac:dyDescent="0.3">
      <c r="A128" t="s">
        <v>195</v>
      </c>
      <c r="B128" t="s">
        <v>8</v>
      </c>
      <c r="C128">
        <v>34</v>
      </c>
      <c r="D128" t="s">
        <v>16</v>
      </c>
      <c r="E128" s="6">
        <v>44383</v>
      </c>
      <c r="F128" t="s">
        <v>21</v>
      </c>
      <c r="G128" s="7">
        <v>92450</v>
      </c>
      <c r="H128" t="s">
        <v>205</v>
      </c>
      <c r="I128" s="8">
        <f ca="1">(TODAY() - Staff[[#This Row],[Date Joined]]) / 365</f>
        <v>2.3369863013698629</v>
      </c>
      <c r="J128" s="7">
        <f ca="1">IF(Staff[[#This Row],[Tenure]]&gt;2, 3%, 2%) * Staff[[#This Row],[Salary]]</f>
        <v>2773.5</v>
      </c>
      <c r="K128">
        <f>_xlfn.XLOOKUP(Staff[[#This Row],[Rating]], Mapping!C$3:C$7, Mapping!D$3:D$7)</f>
        <v>3</v>
      </c>
      <c r="L128" s="8"/>
    </row>
    <row r="129" spans="1:12" x14ac:dyDescent="0.3">
      <c r="A129" t="s">
        <v>102</v>
      </c>
      <c r="B129" t="s">
        <v>8</v>
      </c>
      <c r="C129">
        <v>34</v>
      </c>
      <c r="D129" t="s">
        <v>16</v>
      </c>
      <c r="E129" s="6">
        <v>44445</v>
      </c>
      <c r="F129" t="s">
        <v>21</v>
      </c>
      <c r="G129" s="7">
        <v>92450</v>
      </c>
      <c r="H129" t="s">
        <v>207</v>
      </c>
      <c r="I129" s="8">
        <f ca="1">(TODAY() - Staff[[#This Row],[Date Joined]]) / 365</f>
        <v>2.1671232876712327</v>
      </c>
      <c r="J129" s="7">
        <f ca="1">IF(Staff[[#This Row],[Tenure]]&gt;2, 3%, 2%) * Staff[[#This Row],[Salary]]</f>
        <v>2773.5</v>
      </c>
      <c r="K129">
        <f>_xlfn.XLOOKUP(Staff[[#This Row],[Rating]], Mapping!C$3:C$7, Mapping!D$3:D$7)</f>
        <v>3</v>
      </c>
      <c r="L129" s="8"/>
    </row>
    <row r="130" spans="1:12" x14ac:dyDescent="0.3">
      <c r="A130" t="s">
        <v>169</v>
      </c>
      <c r="B130" t="s">
        <v>8</v>
      </c>
      <c r="C130">
        <v>25</v>
      </c>
      <c r="D130" t="s">
        <v>16</v>
      </c>
      <c r="E130" s="6">
        <v>44144</v>
      </c>
      <c r="F130" t="s">
        <v>19</v>
      </c>
      <c r="G130" s="7">
        <v>92700</v>
      </c>
      <c r="H130" t="s">
        <v>205</v>
      </c>
      <c r="I130" s="8">
        <f ca="1">(TODAY() - Staff[[#This Row],[Date Joined]]) / 365</f>
        <v>2.9917808219178084</v>
      </c>
      <c r="J130" s="7">
        <f ca="1">IF(Staff[[#This Row],[Tenure]]&gt;2, 3%, 2%) * Staff[[#This Row],[Salary]]</f>
        <v>2781</v>
      </c>
      <c r="K130">
        <f>_xlfn.XLOOKUP(Staff[[#This Row],[Rating]], Mapping!C$3:C$7, Mapping!D$3:D$7)</f>
        <v>3</v>
      </c>
      <c r="L130" s="8"/>
    </row>
    <row r="131" spans="1:12" x14ac:dyDescent="0.3">
      <c r="A131" t="s">
        <v>77</v>
      </c>
      <c r="B131" t="s">
        <v>8</v>
      </c>
      <c r="C131">
        <v>25</v>
      </c>
      <c r="D131" t="s">
        <v>16</v>
      </c>
      <c r="E131" s="6">
        <v>44205</v>
      </c>
      <c r="F131" t="s">
        <v>19</v>
      </c>
      <c r="G131" s="7">
        <v>92700</v>
      </c>
      <c r="H131" t="s">
        <v>207</v>
      </c>
      <c r="I131" s="8">
        <f ca="1">(TODAY() - Staff[[#This Row],[Date Joined]]) / 365</f>
        <v>2.8246575342465752</v>
      </c>
      <c r="J131" s="7">
        <f ca="1">IF(Staff[[#This Row],[Tenure]]&gt;2, 3%, 2%) * Staff[[#This Row],[Salary]]</f>
        <v>2781</v>
      </c>
      <c r="K131">
        <f>_xlfn.XLOOKUP(Staff[[#This Row],[Rating]], Mapping!C$3:C$7, Mapping!D$3:D$7)</f>
        <v>3</v>
      </c>
      <c r="L131" s="8"/>
    </row>
    <row r="132" spans="1:12" x14ac:dyDescent="0.3">
      <c r="A132" t="s">
        <v>163</v>
      </c>
      <c r="B132" t="s">
        <v>8</v>
      </c>
      <c r="C132">
        <v>33</v>
      </c>
      <c r="D132" t="s">
        <v>16</v>
      </c>
      <c r="E132" s="6">
        <v>44129</v>
      </c>
      <c r="F132" t="s">
        <v>12</v>
      </c>
      <c r="G132" s="7">
        <v>96140</v>
      </c>
      <c r="H132" t="s">
        <v>205</v>
      </c>
      <c r="I132" s="8">
        <f ca="1">(TODAY() - Staff[[#This Row],[Date Joined]]) / 365</f>
        <v>3.032876712328767</v>
      </c>
      <c r="J132" s="7">
        <f ca="1">IF(Staff[[#This Row],[Tenure]]&gt;2, 3%, 2%) * Staff[[#This Row],[Salary]]</f>
        <v>2884.2</v>
      </c>
      <c r="K132">
        <f>_xlfn.XLOOKUP(Staff[[#This Row],[Rating]], Mapping!C$3:C$7, Mapping!D$3:D$7)</f>
        <v>3</v>
      </c>
      <c r="L132" s="8"/>
    </row>
    <row r="133" spans="1:12" x14ac:dyDescent="0.3">
      <c r="A133" t="s">
        <v>71</v>
      </c>
      <c r="B133" t="s">
        <v>8</v>
      </c>
      <c r="C133">
        <v>33</v>
      </c>
      <c r="D133" t="s">
        <v>16</v>
      </c>
      <c r="E133" s="6">
        <v>44190</v>
      </c>
      <c r="F133" t="s">
        <v>12</v>
      </c>
      <c r="G133" s="7">
        <v>96140</v>
      </c>
      <c r="H133" t="s">
        <v>207</v>
      </c>
      <c r="I133" s="8">
        <f ca="1">(TODAY() - Staff[[#This Row],[Date Joined]]) / 365</f>
        <v>2.8657534246575342</v>
      </c>
      <c r="J133" s="7">
        <f ca="1">IF(Staff[[#This Row],[Tenure]]&gt;2, 3%, 2%) * Staff[[#This Row],[Salary]]</f>
        <v>2884.2</v>
      </c>
      <c r="K133">
        <f>_xlfn.XLOOKUP(Staff[[#This Row],[Rating]], Mapping!C$3:C$7, Mapping!D$3:D$7)</f>
        <v>3</v>
      </c>
      <c r="L133" s="8"/>
    </row>
    <row r="134" spans="1:12" x14ac:dyDescent="0.3">
      <c r="A134" t="s">
        <v>177</v>
      </c>
      <c r="B134" t="s">
        <v>15</v>
      </c>
      <c r="C134">
        <v>30</v>
      </c>
      <c r="D134" t="s">
        <v>16</v>
      </c>
      <c r="E134" s="6">
        <v>44544</v>
      </c>
      <c r="F134" t="s">
        <v>21</v>
      </c>
      <c r="G134" s="7">
        <v>96800</v>
      </c>
      <c r="H134" t="s">
        <v>205</v>
      </c>
      <c r="I134" s="8">
        <f ca="1">(TODAY() - Staff[[#This Row],[Date Joined]]) / 365</f>
        <v>1.8958904109589041</v>
      </c>
      <c r="J134" s="7">
        <f ca="1">IF(Staff[[#This Row],[Tenure]]&gt;2, 3%, 2%) * Staff[[#This Row],[Salary]]</f>
        <v>1936</v>
      </c>
      <c r="K134">
        <f>_xlfn.XLOOKUP(Staff[[#This Row],[Rating]], Mapping!C$3:C$7, Mapping!D$3:D$7)</f>
        <v>3</v>
      </c>
      <c r="L134" s="8"/>
    </row>
    <row r="135" spans="1:12" x14ac:dyDescent="0.3">
      <c r="A135" t="s">
        <v>85</v>
      </c>
      <c r="B135" t="s">
        <v>15</v>
      </c>
      <c r="C135">
        <v>30</v>
      </c>
      <c r="D135" t="s">
        <v>16</v>
      </c>
      <c r="E135" s="6">
        <v>44606</v>
      </c>
      <c r="F135" t="s">
        <v>21</v>
      </c>
      <c r="G135" s="7">
        <v>96800</v>
      </c>
      <c r="H135" t="s">
        <v>207</v>
      </c>
      <c r="I135" s="8">
        <f ca="1">(TODAY() - Staff[[#This Row],[Date Joined]]) / 365</f>
        <v>1.726027397260274</v>
      </c>
      <c r="J135" s="7">
        <f ca="1">IF(Staff[[#This Row],[Tenure]]&gt;2, 3%, 2%) * Staff[[#This Row],[Salary]]</f>
        <v>1936</v>
      </c>
      <c r="K135">
        <f>_xlfn.XLOOKUP(Staff[[#This Row],[Rating]], Mapping!C$3:C$7, Mapping!D$3:D$7)</f>
        <v>3</v>
      </c>
      <c r="L135" s="8"/>
    </row>
    <row r="136" spans="1:12" x14ac:dyDescent="0.3">
      <c r="A136" t="s">
        <v>198</v>
      </c>
      <c r="B136" t="s">
        <v>15</v>
      </c>
      <c r="C136">
        <v>40</v>
      </c>
      <c r="D136" t="s">
        <v>16</v>
      </c>
      <c r="E136" s="6">
        <v>44204</v>
      </c>
      <c r="F136" t="s">
        <v>9</v>
      </c>
      <c r="G136" s="7">
        <v>99750</v>
      </c>
      <c r="H136" t="s">
        <v>205</v>
      </c>
      <c r="I136" s="8">
        <f ca="1">(TODAY() - Staff[[#This Row],[Date Joined]]) / 365</f>
        <v>2.8273972602739725</v>
      </c>
      <c r="J136" s="7">
        <f ca="1">IF(Staff[[#This Row],[Tenure]]&gt;2, 3%, 2%) * Staff[[#This Row],[Salary]]</f>
        <v>2992.5</v>
      </c>
      <c r="K136">
        <f>_xlfn.XLOOKUP(Staff[[#This Row],[Rating]], Mapping!C$3:C$7, Mapping!D$3:D$7)</f>
        <v>3</v>
      </c>
      <c r="L136" s="8"/>
    </row>
    <row r="137" spans="1:12" x14ac:dyDescent="0.3">
      <c r="A137" t="s">
        <v>105</v>
      </c>
      <c r="B137" t="s">
        <v>15</v>
      </c>
      <c r="C137">
        <v>40</v>
      </c>
      <c r="D137" t="s">
        <v>16</v>
      </c>
      <c r="E137" s="6">
        <v>44263</v>
      </c>
      <c r="F137" t="s">
        <v>9</v>
      </c>
      <c r="G137" s="7">
        <v>99750</v>
      </c>
      <c r="H137" t="s">
        <v>207</v>
      </c>
      <c r="I137" s="8">
        <f ca="1">(TODAY() - Staff[[#This Row],[Date Joined]]) / 365</f>
        <v>2.6657534246575341</v>
      </c>
      <c r="J137" s="7">
        <f ca="1">IF(Staff[[#This Row],[Tenure]]&gt;2, 3%, 2%) * Staff[[#This Row],[Salary]]</f>
        <v>2992.5</v>
      </c>
      <c r="K137">
        <f>_xlfn.XLOOKUP(Staff[[#This Row],[Rating]], Mapping!C$3:C$7, Mapping!D$3:D$7)</f>
        <v>3</v>
      </c>
      <c r="L137" s="8"/>
    </row>
    <row r="138" spans="1:12" x14ac:dyDescent="0.3">
      <c r="A138" t="s">
        <v>200</v>
      </c>
      <c r="B138" t="s">
        <v>8</v>
      </c>
      <c r="C138">
        <v>28</v>
      </c>
      <c r="D138" t="s">
        <v>16</v>
      </c>
      <c r="E138" s="6">
        <v>44571</v>
      </c>
      <c r="F138" t="s">
        <v>9</v>
      </c>
      <c r="G138" s="7">
        <v>99970</v>
      </c>
      <c r="H138" t="s">
        <v>205</v>
      </c>
      <c r="I138" s="8">
        <f ca="1">(TODAY() - Staff[[#This Row],[Date Joined]]) / 365</f>
        <v>1.821917808219178</v>
      </c>
      <c r="J138" s="7">
        <f ca="1">IF(Staff[[#This Row],[Tenure]]&gt;2, 3%, 2%) * Staff[[#This Row],[Salary]]</f>
        <v>1999.4</v>
      </c>
      <c r="K138">
        <f>_xlfn.XLOOKUP(Staff[[#This Row],[Rating]], Mapping!C$3:C$7, Mapping!D$3:D$7)</f>
        <v>3</v>
      </c>
      <c r="L138" s="8"/>
    </row>
    <row r="139" spans="1:12" x14ac:dyDescent="0.3">
      <c r="A139" t="s">
        <v>107</v>
      </c>
      <c r="B139" t="s">
        <v>8</v>
      </c>
      <c r="C139">
        <v>28</v>
      </c>
      <c r="D139" t="s">
        <v>16</v>
      </c>
      <c r="E139" s="6">
        <v>44630</v>
      </c>
      <c r="F139" t="s">
        <v>9</v>
      </c>
      <c r="G139" s="7">
        <v>99970</v>
      </c>
      <c r="H139" t="s">
        <v>207</v>
      </c>
      <c r="I139" s="8">
        <f ca="1">(TODAY() - Staff[[#This Row],[Date Joined]]) / 365</f>
        <v>1.6602739726027398</v>
      </c>
      <c r="J139" s="7">
        <f ca="1">IF(Staff[[#This Row],[Tenure]]&gt;2, 3%, 2%) * Staff[[#This Row],[Salary]]</f>
        <v>1999.4</v>
      </c>
      <c r="K139">
        <f>_xlfn.XLOOKUP(Staff[[#This Row],[Rating]], Mapping!C$3:C$7, Mapping!D$3:D$7)</f>
        <v>3</v>
      </c>
      <c r="L139" s="8"/>
    </row>
    <row r="140" spans="1:12" x14ac:dyDescent="0.3">
      <c r="A140" t="s">
        <v>196</v>
      </c>
      <c r="B140" t="s">
        <v>15</v>
      </c>
      <c r="C140">
        <v>24</v>
      </c>
      <c r="D140" t="s">
        <v>16</v>
      </c>
      <c r="E140" s="6">
        <v>44625</v>
      </c>
      <c r="F140" t="s">
        <v>12</v>
      </c>
      <c r="G140" s="7">
        <v>100420</v>
      </c>
      <c r="H140" t="s">
        <v>205</v>
      </c>
      <c r="I140" s="8">
        <f ca="1">(TODAY() - Staff[[#This Row],[Date Joined]]) / 365</f>
        <v>1.6739726027397259</v>
      </c>
      <c r="J140" s="7">
        <f ca="1">IF(Staff[[#This Row],[Tenure]]&gt;2, 3%, 2%) * Staff[[#This Row],[Salary]]</f>
        <v>2008.4</v>
      </c>
      <c r="K140">
        <f>_xlfn.XLOOKUP(Staff[[#This Row],[Rating]], Mapping!C$3:C$7, Mapping!D$3:D$7)</f>
        <v>3</v>
      </c>
      <c r="L140" s="8"/>
    </row>
    <row r="141" spans="1:12" x14ac:dyDescent="0.3">
      <c r="A141" t="s">
        <v>103</v>
      </c>
      <c r="B141" t="s">
        <v>15</v>
      </c>
      <c r="C141">
        <v>24</v>
      </c>
      <c r="D141" t="s">
        <v>16</v>
      </c>
      <c r="E141" s="6">
        <v>44686</v>
      </c>
      <c r="F141" t="s">
        <v>12</v>
      </c>
      <c r="G141" s="7">
        <v>100420</v>
      </c>
      <c r="H141" t="s">
        <v>207</v>
      </c>
      <c r="I141" s="8">
        <f ca="1">(TODAY() - Staff[[#This Row],[Date Joined]]) / 365</f>
        <v>1.5068493150684932</v>
      </c>
      <c r="J141" s="7">
        <f ca="1">IF(Staff[[#This Row],[Tenure]]&gt;2, 3%, 2%) * Staff[[#This Row],[Salary]]</f>
        <v>2008.4</v>
      </c>
      <c r="K141">
        <f>_xlfn.XLOOKUP(Staff[[#This Row],[Rating]], Mapping!C$3:C$7, Mapping!D$3:D$7)</f>
        <v>3</v>
      </c>
      <c r="L141" s="8"/>
    </row>
    <row r="142" spans="1:12" x14ac:dyDescent="0.3">
      <c r="A142" t="s">
        <v>143</v>
      </c>
      <c r="B142" t="s">
        <v>15</v>
      </c>
      <c r="C142">
        <v>31</v>
      </c>
      <c r="D142" t="s">
        <v>16</v>
      </c>
      <c r="E142" s="6">
        <v>44663</v>
      </c>
      <c r="F142" t="s">
        <v>9</v>
      </c>
      <c r="G142" s="7">
        <v>103550</v>
      </c>
      <c r="H142" t="s">
        <v>205</v>
      </c>
      <c r="I142" s="8">
        <f ca="1">(TODAY() - Staff[[#This Row],[Date Joined]]) / 365</f>
        <v>1.5698630136986302</v>
      </c>
      <c r="J142" s="7">
        <f ca="1">IF(Staff[[#This Row],[Tenure]]&gt;2, 3%, 2%) * Staff[[#This Row],[Salary]]</f>
        <v>2071</v>
      </c>
      <c r="K142">
        <f>_xlfn.XLOOKUP(Staff[[#This Row],[Rating]], Mapping!C$3:C$7, Mapping!D$3:D$7)</f>
        <v>3</v>
      </c>
      <c r="L142" s="8"/>
    </row>
    <row r="143" spans="1:12" x14ac:dyDescent="0.3">
      <c r="A143" t="s">
        <v>50</v>
      </c>
      <c r="B143" t="s">
        <v>15</v>
      </c>
      <c r="C143">
        <v>31</v>
      </c>
      <c r="D143" t="s">
        <v>16</v>
      </c>
      <c r="E143" s="6">
        <v>44724</v>
      </c>
      <c r="F143" t="s">
        <v>9</v>
      </c>
      <c r="G143" s="7">
        <v>103550</v>
      </c>
      <c r="H143" t="s">
        <v>207</v>
      </c>
      <c r="I143" s="8">
        <f ca="1">(TODAY() - Staff[[#This Row],[Date Joined]]) / 365</f>
        <v>1.4027397260273973</v>
      </c>
      <c r="J143" s="7">
        <f ca="1">IF(Staff[[#This Row],[Tenure]]&gt;2, 3%, 2%) * Staff[[#This Row],[Salary]]</f>
        <v>2071</v>
      </c>
      <c r="K143">
        <f>_xlfn.XLOOKUP(Staff[[#This Row],[Rating]], Mapping!C$3:C$7, Mapping!D$3:D$7)</f>
        <v>3</v>
      </c>
      <c r="L143" s="8"/>
    </row>
    <row r="144" spans="1:12" x14ac:dyDescent="0.3">
      <c r="A144" t="s">
        <v>189</v>
      </c>
      <c r="B144" t="s">
        <v>8</v>
      </c>
      <c r="C144">
        <v>28</v>
      </c>
      <c r="D144" t="s">
        <v>16</v>
      </c>
      <c r="E144" s="6">
        <v>44590</v>
      </c>
      <c r="F144" t="s">
        <v>9</v>
      </c>
      <c r="G144" s="7">
        <v>104120</v>
      </c>
      <c r="H144" t="s">
        <v>205</v>
      </c>
      <c r="I144" s="8">
        <f ca="1">(TODAY() - Staff[[#This Row],[Date Joined]]) / 365</f>
        <v>1.7698630136986302</v>
      </c>
      <c r="J144" s="7">
        <f ca="1">IF(Staff[[#This Row],[Tenure]]&gt;2, 3%, 2%) * Staff[[#This Row],[Salary]]</f>
        <v>2082.4</v>
      </c>
      <c r="K144">
        <f>_xlfn.XLOOKUP(Staff[[#This Row],[Rating]], Mapping!C$3:C$7, Mapping!D$3:D$7)</f>
        <v>3</v>
      </c>
      <c r="L144" s="8"/>
    </row>
    <row r="145" spans="1:12" x14ac:dyDescent="0.3">
      <c r="A145" t="s">
        <v>96</v>
      </c>
      <c r="B145" t="s">
        <v>8</v>
      </c>
      <c r="C145">
        <v>28</v>
      </c>
      <c r="D145" t="s">
        <v>16</v>
      </c>
      <c r="E145" s="6">
        <v>44649</v>
      </c>
      <c r="F145" t="s">
        <v>9</v>
      </c>
      <c r="G145" s="7">
        <v>104120</v>
      </c>
      <c r="H145" t="s">
        <v>207</v>
      </c>
      <c r="I145" s="8">
        <f ca="1">(TODAY() - Staff[[#This Row],[Date Joined]]) / 365</f>
        <v>1.6082191780821917</v>
      </c>
      <c r="J145" s="7">
        <f ca="1">IF(Staff[[#This Row],[Tenure]]&gt;2, 3%, 2%) * Staff[[#This Row],[Salary]]</f>
        <v>2082.4</v>
      </c>
      <c r="K145">
        <f>_xlfn.XLOOKUP(Staff[[#This Row],[Rating]], Mapping!C$3:C$7, Mapping!D$3:D$7)</f>
        <v>3</v>
      </c>
      <c r="L145" s="8"/>
    </row>
    <row r="146" spans="1:12" x14ac:dyDescent="0.3">
      <c r="A146" t="s">
        <v>194</v>
      </c>
      <c r="B146" t="s">
        <v>8</v>
      </c>
      <c r="C146">
        <v>40</v>
      </c>
      <c r="D146" t="s">
        <v>16</v>
      </c>
      <c r="E146" s="6">
        <v>44320</v>
      </c>
      <c r="F146" t="s">
        <v>12</v>
      </c>
      <c r="G146" s="7">
        <v>104410</v>
      </c>
      <c r="H146" t="s">
        <v>205</v>
      </c>
      <c r="I146" s="8">
        <f ca="1">(TODAY() - Staff[[#This Row],[Date Joined]]) / 365</f>
        <v>2.5095890410958903</v>
      </c>
      <c r="J146" s="7">
        <f ca="1">IF(Staff[[#This Row],[Tenure]]&gt;2, 3%, 2%) * Staff[[#This Row],[Salary]]</f>
        <v>3132.2999999999997</v>
      </c>
      <c r="K146">
        <f>_xlfn.XLOOKUP(Staff[[#This Row],[Rating]], Mapping!C$3:C$7, Mapping!D$3:D$7)</f>
        <v>3</v>
      </c>
      <c r="L146" s="8"/>
    </row>
    <row r="147" spans="1:12" x14ac:dyDescent="0.3">
      <c r="A147" t="s">
        <v>101</v>
      </c>
      <c r="B147" t="s">
        <v>8</v>
      </c>
      <c r="C147">
        <v>40</v>
      </c>
      <c r="D147" t="s">
        <v>16</v>
      </c>
      <c r="E147" s="6">
        <v>44381</v>
      </c>
      <c r="F147" t="s">
        <v>12</v>
      </c>
      <c r="G147" s="7">
        <v>104410</v>
      </c>
      <c r="H147" t="s">
        <v>207</v>
      </c>
      <c r="I147" s="8">
        <f ca="1">(TODAY() - Staff[[#This Row],[Date Joined]]) / 365</f>
        <v>2.3424657534246576</v>
      </c>
      <c r="J147" s="7">
        <f ca="1">IF(Staff[[#This Row],[Tenure]]&gt;2, 3%, 2%) * Staff[[#This Row],[Salary]]</f>
        <v>3132.2999999999997</v>
      </c>
      <c r="K147">
        <f>_xlfn.XLOOKUP(Staff[[#This Row],[Rating]], Mapping!C$3:C$7, Mapping!D$3:D$7)</f>
        <v>3</v>
      </c>
      <c r="L147" s="8"/>
    </row>
    <row r="148" spans="1:12" x14ac:dyDescent="0.3">
      <c r="A148" t="s">
        <v>136</v>
      </c>
      <c r="B148" t="s">
        <v>8</v>
      </c>
      <c r="C148">
        <v>28</v>
      </c>
      <c r="D148" t="s">
        <v>16</v>
      </c>
      <c r="E148" s="6">
        <v>44425</v>
      </c>
      <c r="F148" t="s">
        <v>9</v>
      </c>
      <c r="G148" s="7">
        <v>104770</v>
      </c>
      <c r="H148" t="s">
        <v>205</v>
      </c>
      <c r="I148" s="8">
        <f ca="1">(TODAY() - Staff[[#This Row],[Date Joined]]) / 365</f>
        <v>2.2219178082191782</v>
      </c>
      <c r="J148" s="7">
        <f ca="1">IF(Staff[[#This Row],[Tenure]]&gt;2, 3%, 2%) * Staff[[#This Row],[Salary]]</f>
        <v>3143.1</v>
      </c>
      <c r="K148">
        <f>_xlfn.XLOOKUP(Staff[[#This Row],[Rating]], Mapping!C$3:C$7, Mapping!D$3:D$7)</f>
        <v>3</v>
      </c>
      <c r="L148" s="8"/>
    </row>
    <row r="149" spans="1:12" x14ac:dyDescent="0.3">
      <c r="A149" t="s">
        <v>43</v>
      </c>
      <c r="B149" t="s">
        <v>8</v>
      </c>
      <c r="C149">
        <v>28</v>
      </c>
      <c r="D149" t="s">
        <v>16</v>
      </c>
      <c r="E149" s="6">
        <v>44486</v>
      </c>
      <c r="F149" t="s">
        <v>9</v>
      </c>
      <c r="G149" s="7">
        <v>104770</v>
      </c>
      <c r="H149" t="s">
        <v>207</v>
      </c>
      <c r="I149" s="8">
        <f ca="1">(TODAY() - Staff[[#This Row],[Date Joined]]) / 365</f>
        <v>2.0547945205479454</v>
      </c>
      <c r="J149" s="7">
        <f ca="1">IF(Staff[[#This Row],[Tenure]]&gt;2, 3%, 2%) * Staff[[#This Row],[Salary]]</f>
        <v>3143.1</v>
      </c>
      <c r="K149">
        <f>_xlfn.XLOOKUP(Staff[[#This Row],[Rating]], Mapping!C$3:C$7, Mapping!D$3:D$7)</f>
        <v>3</v>
      </c>
      <c r="L149" s="8"/>
    </row>
    <row r="150" spans="1:12" x14ac:dyDescent="0.3">
      <c r="A150" t="s">
        <v>161</v>
      </c>
      <c r="B150" t="s">
        <v>15</v>
      </c>
      <c r="C150">
        <v>23</v>
      </c>
      <c r="D150" t="s">
        <v>16</v>
      </c>
      <c r="E150" s="6">
        <v>44378</v>
      </c>
      <c r="F150" t="s">
        <v>9</v>
      </c>
      <c r="G150" s="7">
        <v>106460</v>
      </c>
      <c r="H150" t="s">
        <v>205</v>
      </c>
      <c r="I150" s="8">
        <f ca="1">(TODAY() - Staff[[#This Row],[Date Joined]]) / 365</f>
        <v>2.3506849315068492</v>
      </c>
      <c r="J150" s="7">
        <f ca="1">IF(Staff[[#This Row],[Tenure]]&gt;2, 3%, 2%) * Staff[[#This Row],[Salary]]</f>
        <v>3193.7999999999997</v>
      </c>
      <c r="K150">
        <f>_xlfn.XLOOKUP(Staff[[#This Row],[Rating]], Mapping!C$3:C$7, Mapping!D$3:D$7)</f>
        <v>3</v>
      </c>
      <c r="L150" s="8"/>
    </row>
    <row r="151" spans="1:12" x14ac:dyDescent="0.3">
      <c r="A151" t="s">
        <v>69</v>
      </c>
      <c r="B151" t="s">
        <v>15</v>
      </c>
      <c r="C151">
        <v>23</v>
      </c>
      <c r="D151" t="s">
        <v>16</v>
      </c>
      <c r="E151" s="6">
        <v>44440</v>
      </c>
      <c r="F151" t="s">
        <v>9</v>
      </c>
      <c r="G151" s="7">
        <v>106460</v>
      </c>
      <c r="H151" t="s">
        <v>207</v>
      </c>
      <c r="I151" s="8">
        <f ca="1">(TODAY() - Staff[[#This Row],[Date Joined]]) / 365</f>
        <v>2.1808219178082191</v>
      </c>
      <c r="J151" s="7">
        <f ca="1">IF(Staff[[#This Row],[Tenure]]&gt;2, 3%, 2%) * Staff[[#This Row],[Salary]]</f>
        <v>3193.7999999999997</v>
      </c>
      <c r="K151">
        <f>_xlfn.XLOOKUP(Staff[[#This Row],[Rating]], Mapping!C$3:C$7, Mapping!D$3:D$7)</f>
        <v>3</v>
      </c>
      <c r="L151" s="8"/>
    </row>
    <row r="152" spans="1:12" x14ac:dyDescent="0.3">
      <c r="A152" t="s">
        <v>117</v>
      </c>
      <c r="B152" t="s">
        <v>15</v>
      </c>
      <c r="C152">
        <v>20</v>
      </c>
      <c r="D152" t="s">
        <v>16</v>
      </c>
      <c r="E152" s="6">
        <v>44397</v>
      </c>
      <c r="F152" t="s">
        <v>12</v>
      </c>
      <c r="G152" s="7">
        <v>107700</v>
      </c>
      <c r="H152" t="s">
        <v>205</v>
      </c>
      <c r="I152" s="8">
        <f ca="1">(TODAY() - Staff[[#This Row],[Date Joined]]) / 365</f>
        <v>2.2986301369863016</v>
      </c>
      <c r="J152" s="7">
        <f ca="1">IF(Staff[[#This Row],[Tenure]]&gt;2, 3%, 2%) * Staff[[#This Row],[Salary]]</f>
        <v>3231</v>
      </c>
      <c r="K152">
        <f>_xlfn.XLOOKUP(Staff[[#This Row],[Rating]], Mapping!C$3:C$7, Mapping!D$3:D$7)</f>
        <v>3</v>
      </c>
      <c r="L152" s="8"/>
    </row>
    <row r="153" spans="1:12" x14ac:dyDescent="0.3">
      <c r="A153" t="s">
        <v>22</v>
      </c>
      <c r="B153" t="s">
        <v>15</v>
      </c>
      <c r="C153">
        <v>20</v>
      </c>
      <c r="D153" t="s">
        <v>16</v>
      </c>
      <c r="E153" s="6">
        <v>44459</v>
      </c>
      <c r="F153" t="s">
        <v>12</v>
      </c>
      <c r="G153" s="7">
        <v>107700</v>
      </c>
      <c r="H153" t="s">
        <v>207</v>
      </c>
      <c r="I153" s="8">
        <f ca="1">(TODAY() - Staff[[#This Row],[Date Joined]]) / 365</f>
        <v>2.128767123287671</v>
      </c>
      <c r="J153" s="7">
        <f ca="1">IF(Staff[[#This Row],[Tenure]]&gt;2, 3%, 2%) * Staff[[#This Row],[Salary]]</f>
        <v>3231</v>
      </c>
      <c r="K153">
        <f>_xlfn.XLOOKUP(Staff[[#This Row],[Rating]], Mapping!C$3:C$7, Mapping!D$3:D$7)</f>
        <v>3</v>
      </c>
      <c r="L153" s="8"/>
    </row>
    <row r="154" spans="1:12" x14ac:dyDescent="0.3">
      <c r="A154" t="s">
        <v>127</v>
      </c>
      <c r="B154" t="s">
        <v>8</v>
      </c>
      <c r="C154">
        <v>38</v>
      </c>
      <c r="D154" t="s">
        <v>10</v>
      </c>
      <c r="E154" s="6">
        <v>44316</v>
      </c>
      <c r="F154" t="s">
        <v>19</v>
      </c>
      <c r="G154" s="7">
        <v>109160</v>
      </c>
      <c r="H154" t="s">
        <v>205</v>
      </c>
      <c r="I154" s="8">
        <f ca="1">(TODAY() - Staff[[#This Row],[Date Joined]]) / 365</f>
        <v>2.5205479452054793</v>
      </c>
      <c r="J154" s="7">
        <f ca="1">IF(Staff[[#This Row],[Tenure]]&gt;2, 3%, 2%) * Staff[[#This Row],[Salary]]</f>
        <v>3274.7999999999997</v>
      </c>
      <c r="K154">
        <f>_xlfn.XLOOKUP(Staff[[#This Row],[Rating]], Mapping!C$3:C$7, Mapping!D$3:D$7)</f>
        <v>5</v>
      </c>
      <c r="L154" s="8"/>
    </row>
    <row r="155" spans="1:12" x14ac:dyDescent="0.3">
      <c r="A155" t="s">
        <v>33</v>
      </c>
      <c r="B155" t="s">
        <v>8</v>
      </c>
      <c r="C155">
        <v>38</v>
      </c>
      <c r="D155" t="s">
        <v>10</v>
      </c>
      <c r="E155" s="6">
        <v>44377</v>
      </c>
      <c r="F155" t="s">
        <v>19</v>
      </c>
      <c r="G155" s="7">
        <v>109160</v>
      </c>
      <c r="H155" t="s">
        <v>207</v>
      </c>
      <c r="I155" s="8">
        <f ca="1">(TODAY() - Staff[[#This Row],[Date Joined]]) / 365</f>
        <v>2.3534246575342466</v>
      </c>
      <c r="J155" s="7">
        <f ca="1">IF(Staff[[#This Row],[Tenure]]&gt;2, 3%, 2%) * Staff[[#This Row],[Salary]]</f>
        <v>3274.7999999999997</v>
      </c>
      <c r="K155">
        <f>_xlfn.XLOOKUP(Staff[[#This Row],[Rating]], Mapping!C$3:C$7, Mapping!D$3:D$7)</f>
        <v>5</v>
      </c>
      <c r="L155" s="8"/>
    </row>
    <row r="156" spans="1:12" x14ac:dyDescent="0.3">
      <c r="A156" t="s">
        <v>128</v>
      </c>
      <c r="B156" t="s">
        <v>15</v>
      </c>
      <c r="C156">
        <v>25</v>
      </c>
      <c r="D156" t="s">
        <v>13</v>
      </c>
      <c r="E156" s="6">
        <v>44665</v>
      </c>
      <c r="F156" t="s">
        <v>9</v>
      </c>
      <c r="G156" s="7">
        <v>109190</v>
      </c>
      <c r="H156" t="s">
        <v>205</v>
      </c>
      <c r="I156" s="8">
        <f ca="1">(TODAY() - Staff[[#This Row],[Date Joined]]) / 365</f>
        <v>1.5643835616438355</v>
      </c>
      <c r="J156" s="7">
        <f ca="1">IF(Staff[[#This Row],[Tenure]]&gt;2, 3%, 2%) * Staff[[#This Row],[Salary]]</f>
        <v>2183.8000000000002</v>
      </c>
      <c r="K156">
        <f>_xlfn.XLOOKUP(Staff[[#This Row],[Rating]], Mapping!C$3:C$7, Mapping!D$3:D$7)</f>
        <v>4</v>
      </c>
      <c r="L156" s="8"/>
    </row>
    <row r="157" spans="1:12" x14ac:dyDescent="0.3">
      <c r="A157" t="s">
        <v>34</v>
      </c>
      <c r="B157" t="s">
        <v>15</v>
      </c>
      <c r="C157">
        <v>25</v>
      </c>
      <c r="D157" t="s">
        <v>13</v>
      </c>
      <c r="E157" s="6">
        <v>44726</v>
      </c>
      <c r="F157" t="s">
        <v>9</v>
      </c>
      <c r="G157" s="7">
        <v>109190</v>
      </c>
      <c r="H157" t="s">
        <v>207</v>
      </c>
      <c r="I157" s="8">
        <f ca="1">(TODAY() - Staff[[#This Row],[Date Joined]]) / 365</f>
        <v>1.3972602739726028</v>
      </c>
      <c r="J157" s="7">
        <f ca="1">IF(Staff[[#This Row],[Tenure]]&gt;2, 3%, 2%) * Staff[[#This Row],[Salary]]</f>
        <v>2183.8000000000002</v>
      </c>
      <c r="K157">
        <f>_xlfn.XLOOKUP(Staff[[#This Row],[Rating]], Mapping!C$3:C$7, Mapping!D$3:D$7)</f>
        <v>4</v>
      </c>
      <c r="L157" s="8"/>
    </row>
    <row r="158" spans="1:12" x14ac:dyDescent="0.3">
      <c r="A158" t="s">
        <v>180</v>
      </c>
      <c r="B158" t="s">
        <v>15</v>
      </c>
      <c r="C158">
        <v>29</v>
      </c>
      <c r="D158" t="s">
        <v>24</v>
      </c>
      <c r="E158" s="6">
        <v>44119</v>
      </c>
      <c r="F158" t="s">
        <v>12</v>
      </c>
      <c r="G158" s="7">
        <v>112110</v>
      </c>
      <c r="H158" t="s">
        <v>205</v>
      </c>
      <c r="I158" s="8">
        <f ca="1">(TODAY() - Staff[[#This Row],[Date Joined]]) / 365</f>
        <v>3.0602739726027397</v>
      </c>
      <c r="J158" s="7">
        <f ca="1">IF(Staff[[#This Row],[Tenure]]&gt;2, 3%, 2%) * Staff[[#This Row],[Salary]]</f>
        <v>3363.2999999999997</v>
      </c>
      <c r="K158">
        <f>_xlfn.XLOOKUP(Staff[[#This Row],[Rating]], Mapping!C$3:C$7, Mapping!D$3:D$7)</f>
        <v>2</v>
      </c>
      <c r="L158" s="8"/>
    </row>
    <row r="159" spans="1:12" x14ac:dyDescent="0.3">
      <c r="A159" t="s">
        <v>87</v>
      </c>
      <c r="B159" t="s">
        <v>15</v>
      </c>
      <c r="C159">
        <v>29</v>
      </c>
      <c r="D159" t="s">
        <v>24</v>
      </c>
      <c r="E159" s="6">
        <v>44180</v>
      </c>
      <c r="F159" t="s">
        <v>12</v>
      </c>
      <c r="G159" s="7">
        <v>112110</v>
      </c>
      <c r="H159" t="s">
        <v>207</v>
      </c>
      <c r="I159" s="8">
        <f ca="1">(TODAY() - Staff[[#This Row],[Date Joined]]) / 365</f>
        <v>2.893150684931507</v>
      </c>
      <c r="J159" s="7">
        <f ca="1">IF(Staff[[#This Row],[Tenure]]&gt;2, 3%, 2%) * Staff[[#This Row],[Salary]]</f>
        <v>3363.2999999999997</v>
      </c>
      <c r="K159">
        <f>_xlfn.XLOOKUP(Staff[[#This Row],[Rating]], Mapping!C$3:C$7, Mapping!D$3:D$7)</f>
        <v>2</v>
      </c>
      <c r="L159" s="8"/>
    </row>
    <row r="160" spans="1:12" x14ac:dyDescent="0.3">
      <c r="A160" t="s">
        <v>173</v>
      </c>
      <c r="B160" t="s">
        <v>8</v>
      </c>
      <c r="C160">
        <v>30</v>
      </c>
      <c r="D160" t="s">
        <v>16</v>
      </c>
      <c r="E160" s="6">
        <v>44800</v>
      </c>
      <c r="F160" t="s">
        <v>9</v>
      </c>
      <c r="G160" s="7">
        <v>112570</v>
      </c>
      <c r="H160" t="s">
        <v>205</v>
      </c>
      <c r="I160" s="8">
        <f ca="1">(TODAY() - Staff[[#This Row],[Date Joined]]) / 365</f>
        <v>1.1945205479452055</v>
      </c>
      <c r="J160" s="7">
        <f ca="1">IF(Staff[[#This Row],[Tenure]]&gt;2, 3%, 2%) * Staff[[#This Row],[Salary]]</f>
        <v>2251.4</v>
      </c>
      <c r="K160">
        <f>_xlfn.XLOOKUP(Staff[[#This Row],[Rating]], Mapping!C$3:C$7, Mapping!D$3:D$7)</f>
        <v>3</v>
      </c>
      <c r="L160" s="8"/>
    </row>
    <row r="161" spans="1:12" x14ac:dyDescent="0.3">
      <c r="A161" t="s">
        <v>81</v>
      </c>
      <c r="B161" t="s">
        <v>8</v>
      </c>
      <c r="C161">
        <v>30</v>
      </c>
      <c r="D161" t="s">
        <v>16</v>
      </c>
      <c r="E161" s="6">
        <v>44861</v>
      </c>
      <c r="F161" t="s">
        <v>9</v>
      </c>
      <c r="G161" s="7">
        <v>112570</v>
      </c>
      <c r="H161" t="s">
        <v>207</v>
      </c>
      <c r="I161" s="8">
        <f ca="1">(TODAY() - Staff[[#This Row],[Date Joined]]) / 365</f>
        <v>1.0273972602739727</v>
      </c>
      <c r="J161" s="7">
        <f ca="1">IF(Staff[[#This Row],[Tenure]]&gt;2, 3%, 2%) * Staff[[#This Row],[Salary]]</f>
        <v>2251.4</v>
      </c>
      <c r="K161">
        <f>_xlfn.XLOOKUP(Staff[[#This Row],[Rating]], Mapping!C$3:C$7, Mapping!D$3:D$7)</f>
        <v>3</v>
      </c>
      <c r="L161" s="8"/>
    </row>
    <row r="162" spans="1:12" x14ac:dyDescent="0.3">
      <c r="A162" t="s">
        <v>156</v>
      </c>
      <c r="B162" t="s">
        <v>15</v>
      </c>
      <c r="C162">
        <v>20</v>
      </c>
      <c r="D162" t="s">
        <v>16</v>
      </c>
      <c r="E162" s="6">
        <v>44122</v>
      </c>
      <c r="F162" t="s">
        <v>12</v>
      </c>
      <c r="G162" s="7">
        <v>112650</v>
      </c>
      <c r="H162" t="s">
        <v>205</v>
      </c>
      <c r="I162" s="8">
        <f ca="1">(TODAY() - Staff[[#This Row],[Date Joined]]) / 365</f>
        <v>3.0520547945205481</v>
      </c>
      <c r="J162" s="7">
        <f ca="1">IF(Staff[[#This Row],[Tenure]]&gt;2, 3%, 2%) * Staff[[#This Row],[Salary]]</f>
        <v>3379.5</v>
      </c>
      <c r="K162">
        <f>_xlfn.XLOOKUP(Staff[[#This Row],[Rating]], Mapping!C$3:C$7, Mapping!D$3:D$7)</f>
        <v>3</v>
      </c>
      <c r="L162" s="8"/>
    </row>
    <row r="163" spans="1:12" x14ac:dyDescent="0.3">
      <c r="A163" t="s">
        <v>178</v>
      </c>
      <c r="B163" t="s">
        <v>15</v>
      </c>
      <c r="C163">
        <v>34</v>
      </c>
      <c r="D163" t="s">
        <v>16</v>
      </c>
      <c r="E163" s="6">
        <v>44642</v>
      </c>
      <c r="F163" t="s">
        <v>9</v>
      </c>
      <c r="G163" s="7">
        <v>112650</v>
      </c>
      <c r="H163" t="s">
        <v>205</v>
      </c>
      <c r="I163" s="8">
        <f ca="1">(TODAY() - Staff[[#This Row],[Date Joined]]) / 365</f>
        <v>1.6273972602739726</v>
      </c>
      <c r="J163" s="7">
        <f ca="1">IF(Staff[[#This Row],[Tenure]]&gt;2, 3%, 2%) * Staff[[#This Row],[Salary]]</f>
        <v>2253</v>
      </c>
      <c r="K163">
        <f>_xlfn.XLOOKUP(Staff[[#This Row],[Rating]], Mapping!C$3:C$7, Mapping!D$3:D$7)</f>
        <v>3</v>
      </c>
      <c r="L163" s="8"/>
    </row>
    <row r="164" spans="1:12" x14ac:dyDescent="0.3">
      <c r="A164" t="s">
        <v>64</v>
      </c>
      <c r="B164" t="s">
        <v>15</v>
      </c>
      <c r="C164">
        <v>20</v>
      </c>
      <c r="D164" t="s">
        <v>16</v>
      </c>
      <c r="E164" s="6">
        <v>44183</v>
      </c>
      <c r="F164" t="s">
        <v>12</v>
      </c>
      <c r="G164" s="7">
        <v>112650</v>
      </c>
      <c r="H164" t="s">
        <v>207</v>
      </c>
      <c r="I164" s="8">
        <f ca="1">(TODAY() - Staff[[#This Row],[Date Joined]]) / 365</f>
        <v>2.8849315068493149</v>
      </c>
      <c r="J164" s="7">
        <f ca="1">IF(Staff[[#This Row],[Tenure]]&gt;2, 3%, 2%) * Staff[[#This Row],[Salary]]</f>
        <v>3379.5</v>
      </c>
      <c r="K164">
        <f>_xlfn.XLOOKUP(Staff[[#This Row],[Rating]], Mapping!C$3:C$7, Mapping!D$3:D$7)</f>
        <v>3</v>
      </c>
      <c r="L164" s="8"/>
    </row>
    <row r="165" spans="1:12" x14ac:dyDescent="0.3">
      <c r="A165" t="s">
        <v>150</v>
      </c>
      <c r="B165" t="s">
        <v>15</v>
      </c>
      <c r="C165">
        <v>22</v>
      </c>
      <c r="D165" t="s">
        <v>13</v>
      </c>
      <c r="E165" s="6">
        <v>44384</v>
      </c>
      <c r="F165" t="s">
        <v>19</v>
      </c>
      <c r="G165" s="7">
        <v>112780</v>
      </c>
      <c r="H165" t="s">
        <v>205</v>
      </c>
      <c r="I165" s="8">
        <f ca="1">(TODAY() - Staff[[#This Row],[Date Joined]]) / 365</f>
        <v>2.3342465753424659</v>
      </c>
      <c r="J165" s="7">
        <f ca="1">IF(Staff[[#This Row],[Tenure]]&gt;2, 3%, 2%) * Staff[[#This Row],[Salary]]</f>
        <v>3383.4</v>
      </c>
      <c r="K165">
        <f>_xlfn.XLOOKUP(Staff[[#This Row],[Rating]], Mapping!C$3:C$7, Mapping!D$3:D$7)</f>
        <v>4</v>
      </c>
      <c r="L165" s="8"/>
    </row>
    <row r="166" spans="1:12" x14ac:dyDescent="0.3">
      <c r="A166" t="s">
        <v>58</v>
      </c>
      <c r="B166" t="s">
        <v>15</v>
      </c>
      <c r="C166">
        <v>22</v>
      </c>
      <c r="D166" t="s">
        <v>13</v>
      </c>
      <c r="E166" s="6">
        <v>44446</v>
      </c>
      <c r="F166" t="s">
        <v>19</v>
      </c>
      <c r="G166" s="7">
        <v>112780</v>
      </c>
      <c r="H166" t="s">
        <v>207</v>
      </c>
      <c r="I166" s="8">
        <f ca="1">(TODAY() - Staff[[#This Row],[Date Joined]]) / 365</f>
        <v>2.1643835616438358</v>
      </c>
      <c r="J166" s="7">
        <f ca="1">IF(Staff[[#This Row],[Tenure]]&gt;2, 3%, 2%) * Staff[[#This Row],[Salary]]</f>
        <v>3383.4</v>
      </c>
      <c r="K166">
        <f>_xlfn.XLOOKUP(Staff[[#This Row],[Rating]], Mapping!C$3:C$7, Mapping!D$3:D$7)</f>
        <v>4</v>
      </c>
      <c r="L166" s="8"/>
    </row>
    <row r="167" spans="1:12" x14ac:dyDescent="0.3">
      <c r="A167" t="s">
        <v>191</v>
      </c>
      <c r="B167" t="s">
        <v>15</v>
      </c>
      <c r="C167">
        <v>27</v>
      </c>
      <c r="D167" t="s">
        <v>42</v>
      </c>
      <c r="E167" s="6">
        <v>44547</v>
      </c>
      <c r="F167" t="s">
        <v>9</v>
      </c>
      <c r="G167" s="7">
        <v>113280</v>
      </c>
      <c r="H167" t="s">
        <v>205</v>
      </c>
      <c r="I167" s="8">
        <f ca="1">(TODAY() - Staff[[#This Row],[Date Joined]]) / 365</f>
        <v>1.8876712328767122</v>
      </c>
      <c r="J167" s="7">
        <f ca="1">IF(Staff[[#This Row],[Tenure]]&gt;2, 3%, 2%) * Staff[[#This Row],[Salary]]</f>
        <v>2265.6</v>
      </c>
      <c r="K167">
        <f>_xlfn.XLOOKUP(Staff[[#This Row],[Rating]], Mapping!C$3:C$7, Mapping!D$3:D$7)</f>
        <v>1</v>
      </c>
      <c r="L167" s="8"/>
    </row>
    <row r="168" spans="1:12" x14ac:dyDescent="0.3">
      <c r="A168" t="s">
        <v>98</v>
      </c>
      <c r="B168" t="s">
        <v>15</v>
      </c>
      <c r="C168">
        <v>27</v>
      </c>
      <c r="D168" t="s">
        <v>42</v>
      </c>
      <c r="E168" s="6">
        <v>44609</v>
      </c>
      <c r="F168" t="s">
        <v>9</v>
      </c>
      <c r="G168" s="7">
        <v>113280</v>
      </c>
      <c r="H168" t="s">
        <v>207</v>
      </c>
      <c r="I168" s="8">
        <f ca="1">(TODAY() - Staff[[#This Row],[Date Joined]]) / 365</f>
        <v>1.7178082191780821</v>
      </c>
      <c r="J168" s="7">
        <f ca="1">IF(Staff[[#This Row],[Tenure]]&gt;2, 3%, 2%) * Staff[[#This Row],[Salary]]</f>
        <v>2265.6</v>
      </c>
      <c r="K168">
        <f>_xlfn.XLOOKUP(Staff[[#This Row],[Rating]], Mapping!C$3:C$7, Mapping!D$3:D$7)</f>
        <v>1</v>
      </c>
      <c r="L168" s="8"/>
    </row>
    <row r="169" spans="1:12" x14ac:dyDescent="0.3">
      <c r="A169" t="s">
        <v>147</v>
      </c>
      <c r="B169" t="s">
        <v>8</v>
      </c>
      <c r="C169">
        <v>30</v>
      </c>
      <c r="D169" t="s">
        <v>16</v>
      </c>
      <c r="E169" s="6">
        <v>44789</v>
      </c>
      <c r="F169" t="s">
        <v>9</v>
      </c>
      <c r="G169" s="7">
        <v>114180</v>
      </c>
      <c r="H169" t="s">
        <v>205</v>
      </c>
      <c r="I169" s="8">
        <f ca="1">(TODAY() - Staff[[#This Row],[Date Joined]]) / 365</f>
        <v>1.2246575342465753</v>
      </c>
      <c r="J169" s="7">
        <f ca="1">IF(Staff[[#This Row],[Tenure]]&gt;2, 3%, 2%) * Staff[[#This Row],[Salary]]</f>
        <v>2283.6</v>
      </c>
      <c r="K169">
        <f>_xlfn.XLOOKUP(Staff[[#This Row],[Rating]], Mapping!C$3:C$7, Mapping!D$3:D$7)</f>
        <v>3</v>
      </c>
      <c r="L169" s="8"/>
    </row>
    <row r="170" spans="1:12" x14ac:dyDescent="0.3">
      <c r="A170" t="s">
        <v>54</v>
      </c>
      <c r="B170" t="s">
        <v>8</v>
      </c>
      <c r="C170">
        <v>30</v>
      </c>
      <c r="D170" t="s">
        <v>16</v>
      </c>
      <c r="E170" s="6">
        <v>44850</v>
      </c>
      <c r="F170" t="s">
        <v>9</v>
      </c>
      <c r="G170" s="7">
        <v>114180</v>
      </c>
      <c r="H170" t="s">
        <v>207</v>
      </c>
      <c r="I170" s="8">
        <f ca="1">(TODAY() - Staff[[#This Row],[Date Joined]]) / 365</f>
        <v>1.0575342465753426</v>
      </c>
      <c r="J170" s="7">
        <f ca="1">IF(Staff[[#This Row],[Tenure]]&gt;2, 3%, 2%) * Staff[[#This Row],[Salary]]</f>
        <v>2283.6</v>
      </c>
      <c r="K170">
        <f>_xlfn.XLOOKUP(Staff[[#This Row],[Rating]], Mapping!C$3:C$7, Mapping!D$3:D$7)</f>
        <v>3</v>
      </c>
      <c r="L170" s="8"/>
    </row>
    <row r="171" spans="1:12" x14ac:dyDescent="0.3">
      <c r="A171" t="s">
        <v>114</v>
      </c>
      <c r="B171" t="s">
        <v>8</v>
      </c>
      <c r="C171">
        <v>44</v>
      </c>
      <c r="D171" t="s">
        <v>16</v>
      </c>
      <c r="E171" s="6">
        <v>44985</v>
      </c>
      <c r="F171" t="s">
        <v>12</v>
      </c>
      <c r="G171" s="7">
        <v>114870</v>
      </c>
      <c r="H171" t="s">
        <v>205</v>
      </c>
      <c r="I171" s="8">
        <f ca="1">(TODAY() - Staff[[#This Row],[Date Joined]]) / 365</f>
        <v>0.68767123287671228</v>
      </c>
      <c r="J171" s="7">
        <f ca="1">IF(Staff[[#This Row],[Tenure]]&gt;2, 3%, 2%) * Staff[[#This Row],[Salary]]</f>
        <v>2297.4</v>
      </c>
      <c r="K171">
        <f>_xlfn.XLOOKUP(Staff[[#This Row],[Rating]], Mapping!C$3:C$7, Mapping!D$3:D$7)</f>
        <v>3</v>
      </c>
      <c r="L171" s="8"/>
    </row>
    <row r="172" spans="1:12" x14ac:dyDescent="0.3">
      <c r="A172" t="s">
        <v>17</v>
      </c>
      <c r="B172" t="s">
        <v>8</v>
      </c>
      <c r="C172">
        <v>43</v>
      </c>
      <c r="D172" t="s">
        <v>16</v>
      </c>
      <c r="E172" s="6">
        <v>45045</v>
      </c>
      <c r="F172" t="s">
        <v>12</v>
      </c>
      <c r="G172" s="7">
        <v>114870</v>
      </c>
      <c r="H172" t="s">
        <v>207</v>
      </c>
      <c r="I172" s="8">
        <f ca="1">(TODAY() - Staff[[#This Row],[Date Joined]]) / 365</f>
        <v>0.52328767123287667</v>
      </c>
      <c r="J172" s="7">
        <f ca="1">IF(Staff[[#This Row],[Tenure]]&gt;2, 3%, 2%) * Staff[[#This Row],[Salary]]</f>
        <v>2297.4</v>
      </c>
      <c r="K172">
        <f>_xlfn.XLOOKUP(Staff[[#This Row],[Rating]], Mapping!C$3:C$7, Mapping!D$3:D$7)</f>
        <v>3</v>
      </c>
      <c r="L172" s="8"/>
    </row>
    <row r="173" spans="1:12" x14ac:dyDescent="0.3">
      <c r="A173" t="s">
        <v>175</v>
      </c>
      <c r="B173" t="s">
        <v>8</v>
      </c>
      <c r="C173">
        <v>36</v>
      </c>
      <c r="D173" t="s">
        <v>16</v>
      </c>
      <c r="E173" s="6">
        <v>44023</v>
      </c>
      <c r="F173" t="s">
        <v>9</v>
      </c>
      <c r="G173" s="7">
        <v>114890</v>
      </c>
      <c r="H173" t="s">
        <v>205</v>
      </c>
      <c r="I173" s="8">
        <f ca="1">(TODAY() - Staff[[#This Row],[Date Joined]]) / 365</f>
        <v>3.3232876712328765</v>
      </c>
      <c r="J173" s="7">
        <f ca="1">IF(Staff[[#This Row],[Tenure]]&gt;2, 3%, 2%) * Staff[[#This Row],[Salary]]</f>
        <v>3446.7</v>
      </c>
      <c r="K173">
        <f>_xlfn.XLOOKUP(Staff[[#This Row],[Rating]], Mapping!C$3:C$7, Mapping!D$3:D$7)</f>
        <v>3</v>
      </c>
      <c r="L173" s="8"/>
    </row>
    <row r="174" spans="1:12" x14ac:dyDescent="0.3">
      <c r="A174" t="s">
        <v>83</v>
      </c>
      <c r="B174" t="s">
        <v>8</v>
      </c>
      <c r="C174">
        <v>36</v>
      </c>
      <c r="D174" t="s">
        <v>16</v>
      </c>
      <c r="E174" s="6">
        <v>44085</v>
      </c>
      <c r="F174" t="s">
        <v>9</v>
      </c>
      <c r="G174" s="7">
        <v>114890</v>
      </c>
      <c r="H174" t="s">
        <v>207</v>
      </c>
      <c r="I174" s="8">
        <f ca="1">(TODAY() - Staff[[#This Row],[Date Joined]]) / 365</f>
        <v>3.1534246575342464</v>
      </c>
      <c r="J174" s="7">
        <f ca="1">IF(Staff[[#This Row],[Tenure]]&gt;2, 3%, 2%) * Staff[[#This Row],[Salary]]</f>
        <v>3446.7</v>
      </c>
      <c r="K174">
        <f>_xlfn.XLOOKUP(Staff[[#This Row],[Rating]], Mapping!C$3:C$7, Mapping!D$3:D$7)</f>
        <v>3</v>
      </c>
      <c r="L174" s="8"/>
    </row>
    <row r="175" spans="1:12" x14ac:dyDescent="0.3">
      <c r="A175" t="s">
        <v>142</v>
      </c>
      <c r="B175" t="s">
        <v>206</v>
      </c>
      <c r="C175">
        <v>37</v>
      </c>
      <c r="D175" t="s">
        <v>24</v>
      </c>
      <c r="E175" s="6">
        <v>44085</v>
      </c>
      <c r="F175" t="s">
        <v>21</v>
      </c>
      <c r="G175" s="7">
        <v>115440</v>
      </c>
      <c r="H175" t="s">
        <v>205</v>
      </c>
      <c r="I175" s="8">
        <f ca="1">(TODAY() - Staff[[#This Row],[Date Joined]]) / 365</f>
        <v>3.1534246575342464</v>
      </c>
      <c r="J175" s="7">
        <f ca="1">IF(Staff[[#This Row],[Tenure]]&gt;2, 3%, 2%) * Staff[[#This Row],[Salary]]</f>
        <v>3463.2</v>
      </c>
      <c r="K175">
        <f>_xlfn.XLOOKUP(Staff[[#This Row],[Rating]], Mapping!C$3:C$7, Mapping!D$3:D$7)</f>
        <v>2</v>
      </c>
      <c r="L175" s="8"/>
    </row>
    <row r="176" spans="1:12" x14ac:dyDescent="0.3">
      <c r="A176" t="s">
        <v>49</v>
      </c>
      <c r="B176" t="s">
        <v>206</v>
      </c>
      <c r="C176">
        <v>37</v>
      </c>
      <c r="D176" t="s">
        <v>24</v>
      </c>
      <c r="E176" s="6">
        <v>44146</v>
      </c>
      <c r="F176" t="s">
        <v>21</v>
      </c>
      <c r="G176" s="7">
        <v>115440</v>
      </c>
      <c r="H176" t="s">
        <v>207</v>
      </c>
      <c r="I176" s="8">
        <f ca="1">(TODAY() - Staff[[#This Row],[Date Joined]]) / 365</f>
        <v>2.9863013698630136</v>
      </c>
      <c r="J176" s="7">
        <f ca="1">IF(Staff[[#This Row],[Tenure]]&gt;2, 3%, 2%) * Staff[[#This Row],[Salary]]</f>
        <v>3463.2</v>
      </c>
      <c r="K176">
        <f>_xlfn.XLOOKUP(Staff[[#This Row],[Rating]], Mapping!C$3:C$7, Mapping!D$3:D$7)</f>
        <v>2</v>
      </c>
      <c r="L176" s="8"/>
    </row>
    <row r="177" spans="1:12" x14ac:dyDescent="0.3">
      <c r="A177" t="s">
        <v>134</v>
      </c>
      <c r="B177" t="s">
        <v>15</v>
      </c>
      <c r="C177">
        <v>33</v>
      </c>
      <c r="D177" t="s">
        <v>16</v>
      </c>
      <c r="E177" s="6">
        <v>44103</v>
      </c>
      <c r="F177" t="s">
        <v>9</v>
      </c>
      <c r="G177" s="7">
        <v>115920</v>
      </c>
      <c r="H177" t="s">
        <v>205</v>
      </c>
      <c r="I177" s="8">
        <f ca="1">(TODAY() - Staff[[#This Row],[Date Joined]]) / 365</f>
        <v>3.1041095890410957</v>
      </c>
      <c r="J177" s="7">
        <f ca="1">IF(Staff[[#This Row],[Tenure]]&gt;2, 3%, 2%) * Staff[[#This Row],[Salary]]</f>
        <v>3477.6</v>
      </c>
      <c r="K177">
        <f>_xlfn.XLOOKUP(Staff[[#This Row],[Rating]], Mapping!C$3:C$7, Mapping!D$3:D$7)</f>
        <v>3</v>
      </c>
      <c r="L177" s="8"/>
    </row>
    <row r="178" spans="1:12" x14ac:dyDescent="0.3">
      <c r="A178" t="s">
        <v>40</v>
      </c>
      <c r="B178" t="s">
        <v>15</v>
      </c>
      <c r="C178">
        <v>33</v>
      </c>
      <c r="D178" t="s">
        <v>16</v>
      </c>
      <c r="E178" s="6">
        <v>44164</v>
      </c>
      <c r="F178" t="s">
        <v>9</v>
      </c>
      <c r="G178" s="7">
        <v>115920</v>
      </c>
      <c r="H178" t="s">
        <v>207</v>
      </c>
      <c r="I178" s="8">
        <f ca="1">(TODAY() - Staff[[#This Row],[Date Joined]]) / 365</f>
        <v>2.9369863013698629</v>
      </c>
      <c r="J178" s="7">
        <f ca="1">IF(Staff[[#This Row],[Tenure]]&gt;2, 3%, 2%) * Staff[[#This Row],[Salary]]</f>
        <v>3477.6</v>
      </c>
      <c r="K178">
        <f>_xlfn.XLOOKUP(Staff[[#This Row],[Rating]], Mapping!C$3:C$7, Mapping!D$3:D$7)</f>
        <v>3</v>
      </c>
      <c r="L178" s="8"/>
    </row>
    <row r="179" spans="1:12" x14ac:dyDescent="0.3">
      <c r="A179" t="s">
        <v>148</v>
      </c>
      <c r="B179" t="s">
        <v>8</v>
      </c>
      <c r="C179">
        <v>37</v>
      </c>
      <c r="D179" t="s">
        <v>16</v>
      </c>
      <c r="E179" s="6">
        <v>44389</v>
      </c>
      <c r="F179" t="s">
        <v>56</v>
      </c>
      <c r="G179" s="7">
        <v>118100</v>
      </c>
      <c r="H179" t="s">
        <v>205</v>
      </c>
      <c r="I179" s="8">
        <f ca="1">(TODAY() - Staff[[#This Row],[Date Joined]]) / 365</f>
        <v>2.3205479452054796</v>
      </c>
      <c r="J179" s="7">
        <f ca="1">IF(Staff[[#This Row],[Tenure]]&gt;2, 3%, 2%) * Staff[[#This Row],[Salary]]</f>
        <v>3543</v>
      </c>
      <c r="K179">
        <f>_xlfn.XLOOKUP(Staff[[#This Row],[Rating]], Mapping!C$3:C$7, Mapping!D$3:D$7)</f>
        <v>3</v>
      </c>
      <c r="L179" s="8"/>
    </row>
    <row r="180" spans="1:12" x14ac:dyDescent="0.3">
      <c r="A180" t="s">
        <v>55</v>
      </c>
      <c r="B180" t="s">
        <v>8</v>
      </c>
      <c r="C180">
        <v>37</v>
      </c>
      <c r="D180" t="s">
        <v>16</v>
      </c>
      <c r="E180" s="6">
        <v>44451</v>
      </c>
      <c r="F180" t="s">
        <v>56</v>
      </c>
      <c r="G180" s="7">
        <v>118100</v>
      </c>
      <c r="H180" t="s">
        <v>207</v>
      </c>
      <c r="I180" s="8">
        <f ca="1">(TODAY() - Staff[[#This Row],[Date Joined]]) / 365</f>
        <v>2.1506849315068495</v>
      </c>
      <c r="J180" s="7">
        <f ca="1">IF(Staff[[#This Row],[Tenure]]&gt;2, 3%, 2%) * Staff[[#This Row],[Salary]]</f>
        <v>3543</v>
      </c>
      <c r="K180">
        <f>_xlfn.XLOOKUP(Staff[[#This Row],[Rating]], Mapping!C$3:C$7, Mapping!D$3:D$7)</f>
        <v>3</v>
      </c>
      <c r="L180" s="8"/>
    </row>
    <row r="181" spans="1:12" x14ac:dyDescent="0.3">
      <c r="A181" t="s">
        <v>199</v>
      </c>
      <c r="B181" t="s">
        <v>15</v>
      </c>
      <c r="C181">
        <v>36</v>
      </c>
      <c r="D181" t="s">
        <v>16</v>
      </c>
      <c r="E181" s="6">
        <v>43958</v>
      </c>
      <c r="F181" t="s">
        <v>12</v>
      </c>
      <c r="G181" s="7">
        <v>118840</v>
      </c>
      <c r="H181" t="s">
        <v>205</v>
      </c>
      <c r="I181" s="8">
        <f ca="1">(TODAY() - Staff[[#This Row],[Date Joined]]) / 365</f>
        <v>3.5013698630136987</v>
      </c>
      <c r="J181" s="7">
        <f ca="1">IF(Staff[[#This Row],[Tenure]]&gt;2, 3%, 2%) * Staff[[#This Row],[Salary]]</f>
        <v>3565.2</v>
      </c>
      <c r="K181">
        <f>_xlfn.XLOOKUP(Staff[[#This Row],[Rating]], Mapping!C$3:C$7, Mapping!D$3:D$7)</f>
        <v>3</v>
      </c>
      <c r="L181" s="8"/>
    </row>
    <row r="182" spans="1:12" x14ac:dyDescent="0.3">
      <c r="A182" t="s">
        <v>106</v>
      </c>
      <c r="B182" t="s">
        <v>15</v>
      </c>
      <c r="C182">
        <v>36</v>
      </c>
      <c r="D182" t="s">
        <v>16</v>
      </c>
      <c r="E182" s="6">
        <v>44019</v>
      </c>
      <c r="F182" t="s">
        <v>12</v>
      </c>
      <c r="G182" s="7">
        <v>118840</v>
      </c>
      <c r="H182" t="s">
        <v>207</v>
      </c>
      <c r="I182" s="8">
        <f ca="1">(TODAY() - Staff[[#This Row],[Date Joined]]) / 365</f>
        <v>3.3342465753424659</v>
      </c>
      <c r="J182" s="7">
        <f ca="1">IF(Staff[[#This Row],[Tenure]]&gt;2, 3%, 2%) * Staff[[#This Row],[Salary]]</f>
        <v>3565.2</v>
      </c>
      <c r="K182">
        <f>_xlfn.XLOOKUP(Staff[[#This Row],[Rating]], Mapping!C$3:C$7, Mapping!D$3:D$7)</f>
        <v>3</v>
      </c>
      <c r="L182" s="8"/>
    </row>
    <row r="183" spans="1:12" x14ac:dyDescent="0.3">
      <c r="A183" t="s">
        <v>152</v>
      </c>
      <c r="B183" t="s">
        <v>8</v>
      </c>
      <c r="C183">
        <v>27</v>
      </c>
      <c r="D183" t="s">
        <v>16</v>
      </c>
      <c r="E183" s="6">
        <v>44061</v>
      </c>
      <c r="F183" t="s">
        <v>56</v>
      </c>
      <c r="G183" s="7">
        <v>119110</v>
      </c>
      <c r="H183" t="s">
        <v>205</v>
      </c>
      <c r="I183" s="8">
        <f ca="1">(TODAY() - Staff[[#This Row],[Date Joined]]) / 365</f>
        <v>3.2191780821917808</v>
      </c>
      <c r="J183" s="7">
        <f ca="1">IF(Staff[[#This Row],[Tenure]]&gt;2, 3%, 2%) * Staff[[#This Row],[Salary]]</f>
        <v>3573.2999999999997</v>
      </c>
      <c r="K183">
        <f>_xlfn.XLOOKUP(Staff[[#This Row],[Rating]], Mapping!C$3:C$7, Mapping!D$3:D$7)</f>
        <v>3</v>
      </c>
      <c r="L183" s="8"/>
    </row>
    <row r="184" spans="1:12" x14ac:dyDescent="0.3">
      <c r="A184" t="s">
        <v>60</v>
      </c>
      <c r="B184" t="s">
        <v>8</v>
      </c>
      <c r="C184">
        <v>27</v>
      </c>
      <c r="D184" t="s">
        <v>16</v>
      </c>
      <c r="E184" s="6">
        <v>44122</v>
      </c>
      <c r="F184" t="s">
        <v>56</v>
      </c>
      <c r="G184" s="7">
        <v>119110</v>
      </c>
      <c r="H184" t="s">
        <v>207</v>
      </c>
      <c r="I184" s="8">
        <f ca="1">(TODAY() - Staff[[#This Row],[Date Joined]]) / 365</f>
        <v>3.0520547945205481</v>
      </c>
      <c r="J184" s="7">
        <f ca="1">IF(Staff[[#This Row],[Tenure]]&gt;2, 3%, 2%) * Staff[[#This Row],[Salary]]</f>
        <v>3573.2999999999997</v>
      </c>
      <c r="K184">
        <f>_xlfn.XLOOKUP(Staff[[#This Row],[Rating]], Mapping!C$3:C$7, Mapping!D$3:D$7)</f>
        <v>3</v>
      </c>
      <c r="L184" s="8"/>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70" workbookViewId="0">
      <selection activeCell="F3" sqref="F3:F114"/>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13.21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row r="115" spans="2:8" x14ac:dyDescent="0.3">
      <c r="B115" t="s">
        <v>203</v>
      </c>
      <c r="D115">
        <f>SUBTOTAL(101,India_staff[Age])</f>
        <v>30.375</v>
      </c>
      <c r="H115" s="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topLeftCell="A85" workbookViewId="0">
      <selection activeCell="E9" sqref="E9"/>
    </sheetView>
  </sheetViews>
  <sheetFormatPr defaultRowHeight="14.4" x14ac:dyDescent="0.3"/>
  <cols>
    <col min="1" max="1" width="1.6640625" customWidth="1"/>
    <col min="2" max="2" width="3.6640625" customWidth="1"/>
    <col min="3" max="3" width="19.6640625" bestFit="1" customWidth="1"/>
    <col min="4" max="4" width="9.33203125" bestFit="1" customWidth="1"/>
    <col min="5" max="5" width="13.33203125" bestFit="1" customWidth="1"/>
    <col min="6" max="6" width="6.44140625" bestFit="1" customWidth="1"/>
    <col min="7" max="7" width="13" bestFit="1" customWidth="1"/>
    <col min="8" max="8" width="10.55468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F106">
        <f>SUBTOTAL(101,NZ_staff[Age])</f>
        <v>30.52</v>
      </c>
      <c r="H106" s="5">
        <f>SUBTOTAL(101,NZ_staff[Salary])</f>
        <v>77472.100000000006</v>
      </c>
      <c r="I106">
        <f>SUBTOTAL(103,NZ_staff[Rating])</f>
        <v>100</v>
      </c>
    </row>
  </sheetData>
  <conditionalFormatting sqref="C5:C106">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9F06-0400-4165-9C29-B3F52BF37D86}">
  <sheetPr>
    <tabColor theme="9" tint="-0.249977111117893"/>
  </sheetPr>
  <dimension ref="B3:S41"/>
  <sheetViews>
    <sheetView topLeftCell="A7" workbookViewId="0">
      <selection activeCell="K34" sqref="K34"/>
    </sheetView>
  </sheetViews>
  <sheetFormatPr defaultRowHeight="14.4" x14ac:dyDescent="0.3"/>
  <cols>
    <col min="2" max="2" width="12.5546875" bestFit="1" customWidth="1"/>
    <col min="3" max="3" width="13.88671875" bestFit="1" customWidth="1"/>
    <col min="18" max="18" width="9.88671875" bestFit="1" customWidth="1"/>
    <col min="19" max="19" width="12.5546875" bestFit="1" customWidth="1"/>
  </cols>
  <sheetData>
    <row r="3" spans="2:19" x14ac:dyDescent="0.3">
      <c r="B3" s="15" t="s">
        <v>224</v>
      </c>
      <c r="C3" t="s">
        <v>218</v>
      </c>
    </row>
    <row r="4" spans="2:19" x14ac:dyDescent="0.3">
      <c r="B4" s="13" t="s">
        <v>227</v>
      </c>
    </row>
    <row r="5" spans="2:19" x14ac:dyDescent="0.3">
      <c r="B5" s="17" t="s">
        <v>228</v>
      </c>
      <c r="C5">
        <v>3</v>
      </c>
      <c r="Q5" t="s">
        <v>243</v>
      </c>
      <c r="R5" t="s">
        <v>244</v>
      </c>
      <c r="S5" t="s">
        <v>245</v>
      </c>
    </row>
    <row r="6" spans="2:19" x14ac:dyDescent="0.3">
      <c r="B6" s="17" t="s">
        <v>229</v>
      </c>
      <c r="C6">
        <v>4</v>
      </c>
      <c r="Q6" s="25">
        <v>43952</v>
      </c>
      <c r="R6">
        <f>COUNTIFS(Staff[Date Joined], "&gt;="&amp;Q6, Staff[Date Joined], "&lt;="&amp;EOMONTH(Q6,0))</f>
        <v>3</v>
      </c>
      <c r="S6">
        <f>SUM($R$6:R6)</f>
        <v>3</v>
      </c>
    </row>
    <row r="7" spans="2:19" x14ac:dyDescent="0.3">
      <c r="B7" s="17" t="s">
        <v>230</v>
      </c>
      <c r="C7">
        <v>9</v>
      </c>
      <c r="Q7" s="25">
        <v>43983</v>
      </c>
      <c r="R7">
        <f>COUNTIFS(Staff[Date Joined], "&gt;="&amp;Q7, Staff[Date Joined], "&lt;="&amp;EOMONTH(Q7,0))</f>
        <v>1</v>
      </c>
      <c r="S7">
        <f>SUM($R$6:R7)</f>
        <v>4</v>
      </c>
    </row>
    <row r="8" spans="2:19" x14ac:dyDescent="0.3">
      <c r="B8" s="17" t="s">
        <v>231</v>
      </c>
      <c r="C8">
        <v>12</v>
      </c>
      <c r="Q8" s="25">
        <v>44013</v>
      </c>
      <c r="R8">
        <f>COUNTIFS(Staff[Date Joined], "&gt;="&amp;Q8, Staff[Date Joined], "&lt;="&amp;EOMONTH(Q8,0))</f>
        <v>5</v>
      </c>
      <c r="S8">
        <f>SUM($R$6:R8)</f>
        <v>9</v>
      </c>
    </row>
    <row r="9" spans="2:19" x14ac:dyDescent="0.3">
      <c r="B9" s="17" t="s">
        <v>232</v>
      </c>
      <c r="C9">
        <v>18</v>
      </c>
      <c r="Q9" s="25">
        <v>44044</v>
      </c>
      <c r="R9">
        <f>COUNTIFS(Staff[Date Joined], "&gt;="&amp;Q9, Staff[Date Joined], "&lt;="&amp;EOMONTH(Q9,0))</f>
        <v>3</v>
      </c>
      <c r="S9">
        <f>SUM($R$6:R9)</f>
        <v>12</v>
      </c>
    </row>
    <row r="10" spans="2:19" x14ac:dyDescent="0.3">
      <c r="B10" s="17" t="s">
        <v>233</v>
      </c>
      <c r="C10">
        <v>24</v>
      </c>
      <c r="Q10" s="25">
        <v>44075</v>
      </c>
      <c r="R10">
        <f>COUNTIFS(Staff[Date Joined], "&gt;="&amp;Q10, Staff[Date Joined], "&lt;="&amp;EOMONTH(Q10,0))</f>
        <v>6</v>
      </c>
      <c r="S10">
        <f>SUM($R$6:R10)</f>
        <v>18</v>
      </c>
    </row>
    <row r="11" spans="2:19" x14ac:dyDescent="0.3">
      <c r="B11" s="17" t="s">
        <v>234</v>
      </c>
      <c r="C11">
        <v>30</v>
      </c>
      <c r="Q11" s="25">
        <v>44105</v>
      </c>
      <c r="R11">
        <f>COUNTIFS(Staff[Date Joined], "&gt;="&amp;Q11, Staff[Date Joined], "&lt;="&amp;EOMONTH(Q11,0))</f>
        <v>6</v>
      </c>
      <c r="S11">
        <f>SUM($R$6:R11)</f>
        <v>24</v>
      </c>
    </row>
    <row r="12" spans="2:19" x14ac:dyDescent="0.3">
      <c r="B12" s="17" t="s">
        <v>235</v>
      </c>
      <c r="C12">
        <v>37</v>
      </c>
      <c r="Q12" s="25">
        <v>44136</v>
      </c>
      <c r="R12">
        <f>COUNTIFS(Staff[Date Joined], "&gt;="&amp;Q12, Staff[Date Joined], "&lt;="&amp;EOMONTH(Q12,0))</f>
        <v>6</v>
      </c>
      <c r="S12">
        <f>SUM($R$6:R12)</f>
        <v>30</v>
      </c>
    </row>
    <row r="13" spans="2:19" x14ac:dyDescent="0.3">
      <c r="B13" s="13" t="s">
        <v>236</v>
      </c>
      <c r="Q13" s="25">
        <v>44166</v>
      </c>
      <c r="R13">
        <f>COUNTIFS(Staff[Date Joined], "&gt;="&amp;Q13, Staff[Date Joined], "&lt;="&amp;EOMONTH(Q13,0))</f>
        <v>7</v>
      </c>
      <c r="S13">
        <f>SUM($R$6:R13)</f>
        <v>37</v>
      </c>
    </row>
    <row r="14" spans="2:19" x14ac:dyDescent="0.3">
      <c r="B14" s="17" t="s">
        <v>237</v>
      </c>
      <c r="C14">
        <v>6</v>
      </c>
      <c r="Q14" s="25">
        <v>44197</v>
      </c>
      <c r="R14">
        <f>COUNTIFS(Staff[Date Joined], "&gt;="&amp;Q14, Staff[Date Joined], "&lt;="&amp;EOMONTH(Q14,0))</f>
        <v>6</v>
      </c>
      <c r="S14">
        <f>SUM($R$6:R14)</f>
        <v>43</v>
      </c>
    </row>
    <row r="15" spans="2:19" x14ac:dyDescent="0.3">
      <c r="B15" s="17" t="s">
        <v>238</v>
      </c>
      <c r="C15">
        <v>10</v>
      </c>
      <c r="Q15" s="25">
        <v>44228</v>
      </c>
      <c r="R15">
        <f>COUNTIFS(Staff[Date Joined], "&gt;="&amp;Q15, Staff[Date Joined], "&lt;="&amp;EOMONTH(Q15,0))</f>
        <v>4</v>
      </c>
      <c r="S15">
        <f>SUM($R$6:R15)</f>
        <v>47</v>
      </c>
    </row>
    <row r="16" spans="2:19" x14ac:dyDescent="0.3">
      <c r="B16" s="17" t="s">
        <v>239</v>
      </c>
      <c r="C16">
        <v>19</v>
      </c>
      <c r="Q16" s="25">
        <v>44256</v>
      </c>
      <c r="R16">
        <f>COUNTIFS(Staff[Date Joined], "&gt;="&amp;Q16, Staff[Date Joined], "&lt;="&amp;EOMONTH(Q16,0))</f>
        <v>9</v>
      </c>
      <c r="S16">
        <f>SUM($R$6:R16)</f>
        <v>56</v>
      </c>
    </row>
    <row r="17" spans="2:19" x14ac:dyDescent="0.3">
      <c r="B17" s="17" t="s">
        <v>240</v>
      </c>
      <c r="C17">
        <v>24</v>
      </c>
      <c r="Q17" s="25">
        <v>44287</v>
      </c>
      <c r="R17">
        <f>COUNTIFS(Staff[Date Joined], "&gt;="&amp;Q17, Staff[Date Joined], "&lt;="&amp;EOMONTH(Q17,0))</f>
        <v>5</v>
      </c>
      <c r="S17">
        <f>SUM($R$6:R17)</f>
        <v>61</v>
      </c>
    </row>
    <row r="18" spans="2:19" x14ac:dyDescent="0.3">
      <c r="B18" s="17" t="s">
        <v>228</v>
      </c>
      <c r="C18">
        <v>34</v>
      </c>
      <c r="Q18" s="25">
        <v>44317</v>
      </c>
      <c r="R18">
        <f>COUNTIFS(Staff[Date Joined], "&gt;="&amp;Q18, Staff[Date Joined], "&lt;="&amp;EOMONTH(Q18,0))</f>
        <v>10</v>
      </c>
      <c r="S18">
        <f>SUM($R$6:R18)</f>
        <v>71</v>
      </c>
    </row>
    <row r="19" spans="2:19" x14ac:dyDescent="0.3">
      <c r="B19" s="17" t="s">
        <v>229</v>
      </c>
      <c r="C19">
        <v>40</v>
      </c>
      <c r="Q19" s="25">
        <v>44348</v>
      </c>
      <c r="R19">
        <f>COUNTIFS(Staff[Date Joined], "&gt;="&amp;Q19, Staff[Date Joined], "&lt;="&amp;EOMONTH(Q19,0))</f>
        <v>6</v>
      </c>
      <c r="S19">
        <f>SUM($R$6:R19)</f>
        <v>77</v>
      </c>
    </row>
    <row r="20" spans="2:19" x14ac:dyDescent="0.3">
      <c r="B20" s="17" t="s">
        <v>230</v>
      </c>
      <c r="C20">
        <v>53</v>
      </c>
      <c r="Q20" s="25">
        <v>44378</v>
      </c>
      <c r="R20">
        <f>COUNTIFS(Staff[Date Joined], "&gt;="&amp;Q20, Staff[Date Joined], "&lt;="&amp;EOMONTH(Q20,0))</f>
        <v>13</v>
      </c>
      <c r="S20">
        <f>SUM($R$6:R20)</f>
        <v>90</v>
      </c>
    </row>
    <row r="21" spans="2:19" x14ac:dyDescent="0.3">
      <c r="B21" s="17" t="s">
        <v>231</v>
      </c>
      <c r="C21">
        <v>57</v>
      </c>
      <c r="Q21" s="25">
        <v>44409</v>
      </c>
      <c r="R21">
        <f>COUNTIFS(Staff[Date Joined], "&gt;="&amp;Q21, Staff[Date Joined], "&lt;="&amp;EOMONTH(Q21,0))</f>
        <v>4</v>
      </c>
      <c r="S21">
        <f>SUM($R$6:R21)</f>
        <v>94</v>
      </c>
    </row>
    <row r="22" spans="2:19" x14ac:dyDescent="0.3">
      <c r="B22" s="17" t="s">
        <v>232</v>
      </c>
      <c r="C22">
        <v>68</v>
      </c>
      <c r="Q22" s="25">
        <v>44440</v>
      </c>
      <c r="R22">
        <f>COUNTIFS(Staff[Date Joined], "&gt;="&amp;Q22, Staff[Date Joined], "&lt;="&amp;EOMONTH(Q22,0))</f>
        <v>11</v>
      </c>
      <c r="S22">
        <f>SUM($R$6:R22)</f>
        <v>105</v>
      </c>
    </row>
    <row r="23" spans="2:19" x14ac:dyDescent="0.3">
      <c r="B23" s="17" t="s">
        <v>233</v>
      </c>
      <c r="C23">
        <v>71</v>
      </c>
      <c r="Q23" s="25">
        <v>44470</v>
      </c>
      <c r="R23">
        <f>COUNTIFS(Staff[Date Joined], "&gt;="&amp;Q23, Staff[Date Joined], "&lt;="&amp;EOMONTH(Q23,0))</f>
        <v>3</v>
      </c>
      <c r="S23">
        <f>SUM($R$6:R23)</f>
        <v>108</v>
      </c>
    </row>
    <row r="24" spans="2:19" x14ac:dyDescent="0.3">
      <c r="B24" s="17" t="s">
        <v>234</v>
      </c>
      <c r="C24">
        <v>75</v>
      </c>
      <c r="Q24" s="25">
        <v>44501</v>
      </c>
      <c r="R24">
        <f>COUNTIFS(Staff[Date Joined], "&gt;="&amp;Q24, Staff[Date Joined], "&lt;="&amp;EOMONTH(Q24,0))</f>
        <v>4</v>
      </c>
      <c r="S24">
        <f>SUM($R$6:R24)</f>
        <v>112</v>
      </c>
    </row>
    <row r="25" spans="2:19" x14ac:dyDescent="0.3">
      <c r="B25" s="17" t="s">
        <v>235</v>
      </c>
      <c r="C25">
        <v>82</v>
      </c>
      <c r="Q25" s="25">
        <v>44531</v>
      </c>
      <c r="R25">
        <f>COUNTIFS(Staff[Date Joined], "&gt;="&amp;Q25, Staff[Date Joined], "&lt;="&amp;EOMONTH(Q25,0))</f>
        <v>7</v>
      </c>
      <c r="S25">
        <f>SUM($R$6:R25)</f>
        <v>119</v>
      </c>
    </row>
    <row r="26" spans="2:19" x14ac:dyDescent="0.3">
      <c r="B26" s="13" t="s">
        <v>241</v>
      </c>
      <c r="Q26" s="25">
        <v>44562</v>
      </c>
      <c r="R26">
        <f>COUNTIFS(Staff[Date Joined], "&gt;="&amp;Q26, Staff[Date Joined], "&lt;="&amp;EOMONTH(Q26,0))</f>
        <v>3</v>
      </c>
      <c r="S26">
        <f>SUM($R$6:R26)</f>
        <v>122</v>
      </c>
    </row>
    <row r="27" spans="2:19" x14ac:dyDescent="0.3">
      <c r="B27" s="17" t="s">
        <v>237</v>
      </c>
      <c r="C27">
        <v>3</v>
      </c>
      <c r="Q27" s="25">
        <v>44593</v>
      </c>
      <c r="R27">
        <f>COUNTIFS(Staff[Date Joined], "&gt;="&amp;Q27, Staff[Date Joined], "&lt;="&amp;EOMONTH(Q27,0))</f>
        <v>10</v>
      </c>
      <c r="S27">
        <f>SUM($R$6:R27)</f>
        <v>132</v>
      </c>
    </row>
    <row r="28" spans="2:19" x14ac:dyDescent="0.3">
      <c r="B28" s="17" t="s">
        <v>238</v>
      </c>
      <c r="C28">
        <v>13</v>
      </c>
      <c r="Q28" s="25">
        <v>44621</v>
      </c>
      <c r="R28">
        <f>COUNTIFS(Staff[Date Joined], "&gt;="&amp;Q28, Staff[Date Joined], "&lt;="&amp;EOMONTH(Q28,0))</f>
        <v>9</v>
      </c>
      <c r="S28">
        <f>SUM($R$6:R28)</f>
        <v>141</v>
      </c>
    </row>
    <row r="29" spans="2:19" x14ac:dyDescent="0.3">
      <c r="B29" s="17" t="s">
        <v>239</v>
      </c>
      <c r="C29">
        <v>22</v>
      </c>
      <c r="Q29" s="25">
        <v>44652</v>
      </c>
      <c r="R29">
        <f>COUNTIFS(Staff[Date Joined], "&gt;="&amp;Q29, Staff[Date Joined], "&lt;="&amp;EOMONTH(Q29,0))</f>
        <v>9</v>
      </c>
      <c r="S29">
        <f>SUM($R$6:R29)</f>
        <v>150</v>
      </c>
    </row>
    <row r="30" spans="2:19" x14ac:dyDescent="0.3">
      <c r="B30" s="17" t="s">
        <v>240</v>
      </c>
      <c r="C30">
        <v>31</v>
      </c>
      <c r="Q30" s="25">
        <v>44682</v>
      </c>
      <c r="R30">
        <f>COUNTIFS(Staff[Date Joined], "&gt;="&amp;Q30, Staff[Date Joined], "&lt;="&amp;EOMONTH(Q30,0))</f>
        <v>9</v>
      </c>
      <c r="S30">
        <f>SUM($R$6:R30)</f>
        <v>159</v>
      </c>
    </row>
    <row r="31" spans="2:19" x14ac:dyDescent="0.3">
      <c r="B31" s="17" t="s">
        <v>228</v>
      </c>
      <c r="C31">
        <v>40</v>
      </c>
      <c r="Q31" s="25">
        <v>44713</v>
      </c>
      <c r="R31">
        <f>COUNTIFS(Staff[Date Joined], "&gt;="&amp;Q31, Staff[Date Joined], "&lt;="&amp;EOMONTH(Q31,0))</f>
        <v>7</v>
      </c>
      <c r="S31">
        <f>SUM($R$6:R31)</f>
        <v>166</v>
      </c>
    </row>
    <row r="32" spans="2:19" x14ac:dyDescent="0.3">
      <c r="B32" s="17" t="s">
        <v>229</v>
      </c>
      <c r="C32">
        <v>47</v>
      </c>
      <c r="Q32" s="25">
        <v>44743</v>
      </c>
      <c r="R32">
        <f>COUNTIFS(Staff[Date Joined], "&gt;="&amp;Q32, Staff[Date Joined], "&lt;="&amp;EOMONTH(Q32,0))</f>
        <v>5</v>
      </c>
      <c r="S32">
        <f>SUM($R$6:R32)</f>
        <v>171</v>
      </c>
    </row>
    <row r="33" spans="2:19" x14ac:dyDescent="0.3">
      <c r="B33" s="17" t="s">
        <v>230</v>
      </c>
      <c r="C33">
        <v>52</v>
      </c>
      <c r="Q33" s="25">
        <v>44774</v>
      </c>
      <c r="R33">
        <f>COUNTIFS(Staff[Date Joined], "&gt;="&amp;Q33, Staff[Date Joined], "&lt;="&amp;EOMONTH(Q33,0))</f>
        <v>5</v>
      </c>
      <c r="S33">
        <f>SUM($R$6:R33)</f>
        <v>176</v>
      </c>
    </row>
    <row r="34" spans="2:19" x14ac:dyDescent="0.3">
      <c r="B34" s="17" t="s">
        <v>231</v>
      </c>
      <c r="C34">
        <v>57</v>
      </c>
      <c r="Q34" s="25">
        <v>44805</v>
      </c>
      <c r="R34">
        <f>COUNTIFS(Staff[Date Joined], "&gt;="&amp;Q34, Staff[Date Joined], "&lt;="&amp;EOMONTH(Q34,0))</f>
        <v>2</v>
      </c>
      <c r="S34">
        <f>SUM($R$6:R34)</f>
        <v>178</v>
      </c>
    </row>
    <row r="35" spans="2:19" x14ac:dyDescent="0.3">
      <c r="B35" s="17" t="s">
        <v>232</v>
      </c>
      <c r="C35">
        <v>59</v>
      </c>
      <c r="Q35" s="25">
        <v>44835</v>
      </c>
      <c r="R35">
        <f>COUNTIFS(Staff[Date Joined], "&gt;="&amp;Q35, Staff[Date Joined], "&lt;="&amp;EOMONTH(Q35,0))</f>
        <v>3</v>
      </c>
      <c r="S35">
        <f>SUM($R$6:R35)</f>
        <v>181</v>
      </c>
    </row>
    <row r="36" spans="2:19" x14ac:dyDescent="0.3">
      <c r="B36" s="17" t="s">
        <v>233</v>
      </c>
      <c r="C36">
        <v>62</v>
      </c>
      <c r="Q36" s="25">
        <v>44866</v>
      </c>
      <c r="R36">
        <f>COUNTIFS(Staff[Date Joined], "&gt;="&amp;Q36, Staff[Date Joined], "&lt;="&amp;EOMONTH(Q36,0))</f>
        <v>0</v>
      </c>
      <c r="S36">
        <f>SUM($R$6:R36)</f>
        <v>181</v>
      </c>
    </row>
    <row r="37" spans="2:19" x14ac:dyDescent="0.3">
      <c r="B37" s="13" t="s">
        <v>242</v>
      </c>
      <c r="Q37" s="25">
        <v>44896</v>
      </c>
      <c r="R37">
        <f>COUNTIFS(Staff[Date Joined], "&gt;="&amp;Q37, Staff[Date Joined], "&lt;="&amp;EOMONTH(Q37,0))</f>
        <v>0</v>
      </c>
      <c r="S37">
        <f>SUM($R$6:R37)</f>
        <v>181</v>
      </c>
    </row>
    <row r="38" spans="2:19" x14ac:dyDescent="0.3">
      <c r="B38" s="17" t="s">
        <v>238</v>
      </c>
      <c r="C38">
        <v>1</v>
      </c>
      <c r="Q38" s="25">
        <v>44927</v>
      </c>
      <c r="R38">
        <f>COUNTIFS(Staff[Date Joined], "&gt;="&amp;Q38, Staff[Date Joined], "&lt;="&amp;EOMONTH(Q38,0))</f>
        <v>0</v>
      </c>
      <c r="S38">
        <f>SUM($R$6:R38)</f>
        <v>181</v>
      </c>
    </row>
    <row r="39" spans="2:19" x14ac:dyDescent="0.3">
      <c r="B39" s="17" t="s">
        <v>240</v>
      </c>
      <c r="C39">
        <v>2</v>
      </c>
      <c r="Q39" s="25">
        <v>44958</v>
      </c>
      <c r="R39">
        <f>COUNTIFS(Staff[Date Joined], "&gt;="&amp;Q39, Staff[Date Joined], "&lt;="&amp;EOMONTH(Q39,0))</f>
        <v>1</v>
      </c>
      <c r="S39">
        <f>SUM($R$6:R39)</f>
        <v>182</v>
      </c>
    </row>
    <row r="40" spans="2:19" x14ac:dyDescent="0.3">
      <c r="B40" s="13" t="s">
        <v>225</v>
      </c>
      <c r="Q40" s="25">
        <v>44986</v>
      </c>
      <c r="R40">
        <f>COUNTIFS(Staff[Date Joined], "&gt;="&amp;Q40, Staff[Date Joined], "&lt;="&amp;EOMONTH(Q40,0))</f>
        <v>0</v>
      </c>
      <c r="S40">
        <f>SUM($R$6:R40)</f>
        <v>182</v>
      </c>
    </row>
    <row r="41" spans="2:19" x14ac:dyDescent="0.3">
      <c r="Q41" s="25">
        <v>45017</v>
      </c>
      <c r="R41">
        <f>COUNTIFS(Staff[Date Joined], "&gt;="&amp;Q41, Staff[Date Joined], "&lt;="&amp;EOMONTH(Q41,0))</f>
        <v>1</v>
      </c>
      <c r="S41">
        <f>SUM($R$6:R41)</f>
        <v>183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3C0D3-AF6D-44AF-ADA6-59865EAA6127}">
  <sheetPr>
    <tabColor theme="0" tint="-0.499984740745262"/>
  </sheetPr>
  <dimension ref="C3:D7"/>
  <sheetViews>
    <sheetView workbookViewId="0">
      <selection activeCell="C8" sqref="C8"/>
    </sheetView>
  </sheetViews>
  <sheetFormatPr defaultRowHeight="14.4" x14ac:dyDescent="0.3"/>
  <cols>
    <col min="3" max="3" width="13.33203125" customWidth="1"/>
  </cols>
  <sheetData>
    <row r="3" spans="3:4" x14ac:dyDescent="0.3">
      <c r="C3" s="20" t="s">
        <v>10</v>
      </c>
      <c r="D3" s="21">
        <v>5</v>
      </c>
    </row>
    <row r="4" spans="3:4" x14ac:dyDescent="0.3">
      <c r="C4" s="20" t="s">
        <v>13</v>
      </c>
      <c r="D4" s="21">
        <v>4</v>
      </c>
    </row>
    <row r="5" spans="3:4" x14ac:dyDescent="0.3">
      <c r="C5" s="20" t="s">
        <v>16</v>
      </c>
      <c r="D5" s="21">
        <v>3</v>
      </c>
    </row>
    <row r="6" spans="3:4" x14ac:dyDescent="0.3">
      <c r="C6" s="20" t="s">
        <v>24</v>
      </c>
      <c r="D6" s="21">
        <v>2</v>
      </c>
    </row>
    <row r="7" spans="3:4" x14ac:dyDescent="0.3">
      <c r="C7" s="20" t="s">
        <v>42</v>
      </c>
      <c r="D7" s="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EF394-A55C-4342-879D-C26454DC52D8}">
  <sheetPr>
    <tabColor theme="9" tint="-0.249977111117893"/>
  </sheetPr>
  <dimension ref="B3:D9"/>
  <sheetViews>
    <sheetView workbookViewId="0">
      <selection activeCell="S5" sqref="S5"/>
    </sheetView>
  </sheetViews>
  <sheetFormatPr defaultRowHeight="14.4" x14ac:dyDescent="0.3"/>
  <cols>
    <col min="2" max="2" width="13.109375" bestFit="1" customWidth="1"/>
    <col min="3" max="3" width="13.88671875" bestFit="1" customWidth="1"/>
    <col min="4" max="4" width="15.77734375" bestFit="1" customWidth="1"/>
    <col min="5" max="70" width="6" bestFit="1" customWidth="1"/>
    <col min="71" max="92" width="7" bestFit="1" customWidth="1"/>
    <col min="93" max="93" width="10.77734375" bestFit="1" customWidth="1"/>
  </cols>
  <sheetData>
    <row r="3" spans="2:4" x14ac:dyDescent="0.3">
      <c r="B3" s="15" t="s">
        <v>224</v>
      </c>
      <c r="C3" t="s">
        <v>218</v>
      </c>
      <c r="D3" s="18" t="s">
        <v>221</v>
      </c>
    </row>
    <row r="4" spans="2:4" x14ac:dyDescent="0.3">
      <c r="B4" s="13" t="s">
        <v>10</v>
      </c>
      <c r="C4">
        <v>4</v>
      </c>
      <c r="D4" s="5">
        <v>92080</v>
      </c>
    </row>
    <row r="5" spans="2:4" x14ac:dyDescent="0.3">
      <c r="B5" s="13" t="s">
        <v>13</v>
      </c>
      <c r="C5">
        <v>20</v>
      </c>
      <c r="D5" s="5">
        <v>75933</v>
      </c>
    </row>
    <row r="6" spans="2:4" x14ac:dyDescent="0.3">
      <c r="B6" s="13" t="s">
        <v>16</v>
      </c>
      <c r="C6">
        <v>137</v>
      </c>
      <c r="D6" s="5">
        <v>76798.759124087592</v>
      </c>
    </row>
    <row r="7" spans="2:4" x14ac:dyDescent="0.3">
      <c r="B7" s="13" t="s">
        <v>24</v>
      </c>
      <c r="C7">
        <v>16</v>
      </c>
      <c r="D7" s="5">
        <v>78115</v>
      </c>
    </row>
    <row r="8" spans="2:4" x14ac:dyDescent="0.3">
      <c r="B8" s="13" t="s">
        <v>42</v>
      </c>
      <c r="C8">
        <v>6</v>
      </c>
      <c r="D8" s="5">
        <v>77423.333333333328</v>
      </c>
    </row>
    <row r="9" spans="2:4" x14ac:dyDescent="0.3">
      <c r="B9" s="13" t="s">
        <v>225</v>
      </c>
      <c r="C9">
        <v>183</v>
      </c>
      <c r="D9" s="5">
        <v>77173.715846994543</v>
      </c>
    </row>
  </sheetData>
  <conditionalFormatting pivot="1" sqref="D4:D8">
    <cfRule type="dataBar" priority="2">
      <dataBar>
        <cfvo type="min"/>
        <cfvo type="max"/>
        <color rgb="FF638EC6"/>
      </dataBar>
      <extLst>
        <ext xmlns:x14="http://schemas.microsoft.com/office/spreadsheetml/2009/9/main" uri="{B025F937-C7B1-47D3-B67F-A62EFF666E3E}">
          <x14:id>{2A117452-C660-45C0-91FC-4A2EEB76D2FA}</x14:id>
        </ext>
      </extLst>
    </cfRule>
  </conditionalFormatting>
  <conditionalFormatting pivot="1" sqref="D4:D8">
    <cfRule type="dataBar" priority="1">
      <dataBar>
        <cfvo type="min"/>
        <cfvo type="max"/>
        <color rgb="FF638EC6"/>
      </dataBar>
      <extLst>
        <ext xmlns:x14="http://schemas.microsoft.com/office/spreadsheetml/2009/9/main" uri="{B025F937-C7B1-47D3-B67F-A62EFF666E3E}">
          <x14:id>{8BF8F92F-A8CD-4824-91AE-926E1989AF8D}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A117452-C660-45C0-91FC-4A2EEB76D2FA}">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 xmlns:xm="http://schemas.microsoft.com/office/excel/2006/main" pivot="1">
          <x14:cfRule type="dataBar" id="{8BF8F92F-A8CD-4824-91AE-926E1989AF8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0752-C868-46A1-924D-596A7FB46D20}">
  <sheetPr>
    <tabColor theme="8" tint="-0.249977111117893"/>
  </sheetPr>
  <dimension ref="B2:D9"/>
  <sheetViews>
    <sheetView workbookViewId="0">
      <selection activeCell="H17" sqref="H17"/>
    </sheetView>
  </sheetViews>
  <sheetFormatPr defaultRowHeight="14.4" x14ac:dyDescent="0.3"/>
  <cols>
    <col min="2" max="2" width="16" bestFit="1" customWidth="1"/>
    <col min="3" max="3" width="15.5546875" bestFit="1" customWidth="1"/>
    <col min="4" max="4" width="10.44140625" bestFit="1" customWidth="1"/>
    <col min="5" max="6" width="12" bestFit="1" customWidth="1"/>
    <col min="7" max="7" width="15.5546875" bestFit="1" customWidth="1"/>
    <col min="8" max="9" width="18.6640625" bestFit="1" customWidth="1"/>
  </cols>
  <sheetData>
    <row r="2" spans="2:4" x14ac:dyDescent="0.3">
      <c r="B2" s="14">
        <v>3</v>
      </c>
      <c r="C2" t="s">
        <v>216</v>
      </c>
    </row>
    <row r="4" spans="2:4" x14ac:dyDescent="0.3">
      <c r="C4" s="15" t="s">
        <v>217</v>
      </c>
    </row>
    <row r="5" spans="2:4" x14ac:dyDescent="0.3">
      <c r="B5" s="15" t="s">
        <v>220</v>
      </c>
      <c r="C5" t="s">
        <v>8</v>
      </c>
      <c r="D5" t="s">
        <v>15</v>
      </c>
    </row>
    <row r="6" spans="2:4" x14ac:dyDescent="0.3">
      <c r="B6" s="13" t="s">
        <v>218</v>
      </c>
      <c r="C6">
        <v>86</v>
      </c>
      <c r="D6">
        <v>89</v>
      </c>
    </row>
    <row r="7" spans="2:4" x14ac:dyDescent="0.3">
      <c r="B7" s="13" t="s">
        <v>219</v>
      </c>
      <c r="C7" s="9">
        <v>31.406976744186046</v>
      </c>
      <c r="D7" s="9">
        <v>29.393258426966291</v>
      </c>
    </row>
    <row r="8" spans="2:4" x14ac:dyDescent="0.3">
      <c r="B8" s="13" t="s">
        <v>221</v>
      </c>
      <c r="C8" s="7">
        <v>78284.186046511633</v>
      </c>
      <c r="D8" s="7">
        <v>74915.168539325838</v>
      </c>
    </row>
    <row r="9" spans="2:4" x14ac:dyDescent="0.3">
      <c r="B9" s="13" t="s">
        <v>222</v>
      </c>
      <c r="C9" s="9">
        <v>2.1696081554635231</v>
      </c>
      <c r="D9" s="9">
        <v>2.160504848391565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0560F-5B8F-4412-A9A2-CF726E16D11C}">
  <sheetPr>
    <tabColor theme="9" tint="-0.249977111117893"/>
  </sheetPr>
  <dimension ref="A1"/>
  <sheetViews>
    <sheetView zoomScale="85" zoomScaleNormal="85" workbookViewId="0">
      <selection activeCell="H25" sqref="H25"/>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4A38-4C2C-42D5-92EB-68E1E0560946}">
  <dimension ref="C2:N22"/>
  <sheetViews>
    <sheetView showGridLines="0" zoomScale="85" zoomScaleNormal="85" workbookViewId="0">
      <selection activeCell="R6" sqref="R6"/>
    </sheetView>
  </sheetViews>
  <sheetFormatPr defaultRowHeight="14.4" x14ac:dyDescent="0.3"/>
  <cols>
    <col min="3" max="3" width="20.33203125" customWidth="1"/>
    <col min="4" max="4" width="2.21875" customWidth="1"/>
    <col min="5" max="5" width="20.33203125" customWidth="1"/>
    <col min="6" max="6" width="2.21875" customWidth="1"/>
    <col min="7" max="7" width="20.33203125" customWidth="1"/>
    <col min="10" max="10" width="20.33203125" customWidth="1"/>
    <col min="11" max="11" width="2.21875" customWidth="1"/>
    <col min="12" max="12" width="20.33203125" customWidth="1"/>
    <col min="13" max="13" width="2.21875" customWidth="1"/>
    <col min="14" max="14" width="20.33203125" customWidth="1"/>
  </cols>
  <sheetData>
    <row r="2" spans="3:14" ht="34.200000000000003" customHeight="1" x14ac:dyDescent="0.3">
      <c r="C2" s="41" t="s">
        <v>248</v>
      </c>
      <c r="D2" s="41"/>
      <c r="E2" s="41"/>
      <c r="F2" s="41"/>
      <c r="G2" s="41"/>
      <c r="J2" s="41" t="s">
        <v>249</v>
      </c>
      <c r="K2" s="41"/>
      <c r="L2" s="41"/>
      <c r="M2" s="41"/>
      <c r="N2" s="41"/>
    </row>
    <row r="3" spans="3:14" ht="78" customHeight="1" x14ac:dyDescent="0.3">
      <c r="C3" s="35">
        <f>COUNTIFS(Staff[Country], "Nz")</f>
        <v>91</v>
      </c>
      <c r="E3" s="34">
        <f>COUNTIFS(Staff[Country], "Nz", Staff[Gender], "Female") / C3</f>
        <v>0.47252747252747251</v>
      </c>
      <c r="G3" s="38">
        <f>AVERAGEIFS(Staff[Salary], Staff[Country], "NZ")</f>
        <v>76978.791208791212</v>
      </c>
      <c r="J3" s="36">
        <f>COUNTIFS(Staff[Country], "Ind")</f>
        <v>92</v>
      </c>
      <c r="L3" s="37">
        <f>COUNTIFS(Staff[Country], "Ind", Staff[Gender], "Female") / J3</f>
        <v>0.46739130434782611</v>
      </c>
      <c r="N3" s="39">
        <f>AVERAGEIFS(Staff[Salary], Staff[Country], "Ind")</f>
        <v>77366.521739130432</v>
      </c>
    </row>
    <row r="4" spans="3:14" x14ac:dyDescent="0.3">
      <c r="C4" s="33"/>
    </row>
    <row r="5" spans="3:14" x14ac:dyDescent="0.3">
      <c r="C5" s="33"/>
    </row>
    <row r="6" spans="3:14" ht="28.8" customHeight="1" x14ac:dyDescent="0.3">
      <c r="C6" s="40" t="s">
        <v>247</v>
      </c>
      <c r="D6" s="40"/>
      <c r="E6" s="40"/>
      <c r="F6" s="40"/>
      <c r="G6" s="40"/>
      <c r="H6" s="40"/>
      <c r="I6" s="40"/>
      <c r="J6" s="40"/>
      <c r="K6" s="40"/>
      <c r="L6" s="40"/>
      <c r="M6" s="40"/>
      <c r="N6" s="40"/>
    </row>
    <row r="7" spans="3:14" x14ac:dyDescent="0.3">
      <c r="C7" s="33"/>
    </row>
    <row r="8" spans="3:14" x14ac:dyDescent="0.3">
      <c r="C8" s="26"/>
      <c r="D8" s="27"/>
      <c r="E8" s="27"/>
      <c r="F8" s="27"/>
      <c r="G8" s="28"/>
      <c r="J8" s="26"/>
      <c r="K8" s="27"/>
      <c r="L8" s="27"/>
      <c r="M8" s="27"/>
      <c r="N8" s="28"/>
    </row>
    <row r="9" spans="3:14" x14ac:dyDescent="0.3">
      <c r="C9" s="29"/>
      <c r="G9" s="30"/>
      <c r="J9" s="29"/>
      <c r="N9" s="30"/>
    </row>
    <row r="10" spans="3:14" x14ac:dyDescent="0.3">
      <c r="C10" s="29"/>
      <c r="G10" s="30"/>
      <c r="J10" s="29"/>
      <c r="N10" s="30"/>
    </row>
    <row r="11" spans="3:14" x14ac:dyDescent="0.3">
      <c r="C11" s="29"/>
      <c r="G11" s="30"/>
      <c r="J11" s="29"/>
      <c r="N11" s="30"/>
    </row>
    <row r="12" spans="3:14" x14ac:dyDescent="0.3">
      <c r="C12" s="29"/>
      <c r="G12" s="30"/>
      <c r="J12" s="29"/>
      <c r="N12" s="30"/>
    </row>
    <row r="13" spans="3:14" x14ac:dyDescent="0.3">
      <c r="C13" s="29"/>
      <c r="G13" s="30"/>
      <c r="J13" s="29"/>
      <c r="N13" s="30"/>
    </row>
    <row r="14" spans="3:14" x14ac:dyDescent="0.3">
      <c r="C14" s="29"/>
      <c r="G14" s="30"/>
      <c r="J14" s="29"/>
      <c r="N14" s="30"/>
    </row>
    <row r="15" spans="3:14" x14ac:dyDescent="0.3">
      <c r="C15" s="29"/>
      <c r="G15" s="30"/>
      <c r="J15" s="29"/>
      <c r="N15" s="30"/>
    </row>
    <row r="16" spans="3:14" x14ac:dyDescent="0.3">
      <c r="C16" s="29"/>
      <c r="G16" s="30"/>
      <c r="J16" s="29"/>
      <c r="N16" s="30"/>
    </row>
    <row r="17" spans="3:14" x14ac:dyDescent="0.3">
      <c r="C17" s="29"/>
      <c r="G17" s="30"/>
      <c r="J17" s="29"/>
      <c r="N17" s="30"/>
    </row>
    <row r="18" spans="3:14" x14ac:dyDescent="0.3">
      <c r="C18" s="29"/>
      <c r="G18" s="30"/>
      <c r="H18" t="s">
        <v>246</v>
      </c>
      <c r="J18" s="29"/>
      <c r="N18" s="30"/>
    </row>
    <row r="19" spans="3:14" x14ac:dyDescent="0.3">
      <c r="C19" s="29"/>
      <c r="G19" s="30"/>
      <c r="J19" s="29"/>
      <c r="N19" s="30"/>
    </row>
    <row r="20" spans="3:14" x14ac:dyDescent="0.3">
      <c r="C20" s="29"/>
      <c r="G20" s="30"/>
      <c r="J20" s="29"/>
      <c r="N20" s="30"/>
    </row>
    <row r="21" spans="3:14" x14ac:dyDescent="0.3">
      <c r="C21" s="29"/>
      <c r="G21" s="30"/>
      <c r="J21" s="29"/>
      <c r="N21" s="30"/>
    </row>
    <row r="22" spans="3:14" x14ac:dyDescent="0.3">
      <c r="C22" s="31"/>
      <c r="D22" s="19"/>
      <c r="E22" s="19"/>
      <c r="F22" s="19"/>
      <c r="G22" s="32"/>
      <c r="J22" s="31"/>
      <c r="K22" s="19"/>
      <c r="L22" s="19"/>
      <c r="M22" s="19"/>
      <c r="N22" s="32"/>
    </row>
  </sheetData>
  <mergeCells count="3">
    <mergeCell ref="C6:N6"/>
    <mergeCell ref="C2:G2"/>
    <mergeCell ref="J2:N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216-3EED-4D65-99F8-5FD249FAF558}">
  <dimension ref="B1:G9"/>
  <sheetViews>
    <sheetView topLeftCell="A4" workbookViewId="0">
      <selection activeCell="G5" sqref="G5"/>
    </sheetView>
  </sheetViews>
  <sheetFormatPr defaultRowHeight="14.4" x14ac:dyDescent="0.3"/>
  <cols>
    <col min="2" max="2" width="12.5546875" bestFit="1" customWidth="1"/>
    <col min="3" max="3" width="13.88671875" bestFit="1" customWidth="1"/>
    <col min="6" max="6" width="12.5546875" bestFit="1" customWidth="1"/>
    <col min="7" max="7" width="13.88671875" bestFit="1" customWidth="1"/>
  </cols>
  <sheetData>
    <row r="1" spans="2:7" x14ac:dyDescent="0.3">
      <c r="B1" s="15" t="s">
        <v>204</v>
      </c>
      <c r="C1" t="s" vm="1">
        <v>205</v>
      </c>
      <c r="F1" s="15" t="s">
        <v>204</v>
      </c>
      <c r="G1" t="s" vm="2">
        <v>207</v>
      </c>
    </row>
    <row r="3" spans="2:7" x14ac:dyDescent="0.3">
      <c r="B3" s="15" t="s">
        <v>224</v>
      </c>
      <c r="C3" t="s">
        <v>218</v>
      </c>
      <c r="F3" s="15" t="s">
        <v>224</v>
      </c>
      <c r="G3" t="s">
        <v>218</v>
      </c>
    </row>
    <row r="4" spans="2:7" x14ac:dyDescent="0.3">
      <c r="B4" s="13" t="s">
        <v>9</v>
      </c>
      <c r="C4">
        <v>28</v>
      </c>
      <c r="F4" s="13" t="s">
        <v>12</v>
      </c>
      <c r="G4">
        <v>27</v>
      </c>
    </row>
    <row r="5" spans="2:7" x14ac:dyDescent="0.3">
      <c r="B5" s="13" t="s">
        <v>12</v>
      </c>
      <c r="C5">
        <v>27</v>
      </c>
      <c r="F5" s="13" t="s">
        <v>9</v>
      </c>
      <c r="G5">
        <v>27</v>
      </c>
    </row>
    <row r="6" spans="2:7" x14ac:dyDescent="0.3">
      <c r="B6" s="13" t="s">
        <v>21</v>
      </c>
      <c r="C6">
        <v>19</v>
      </c>
      <c r="F6" s="13" t="s">
        <v>21</v>
      </c>
      <c r="G6">
        <v>19</v>
      </c>
    </row>
    <row r="7" spans="2:7" x14ac:dyDescent="0.3">
      <c r="B7" s="13" t="s">
        <v>19</v>
      </c>
      <c r="C7">
        <v>14</v>
      </c>
      <c r="F7" s="13" t="s">
        <v>19</v>
      </c>
      <c r="G7">
        <v>14</v>
      </c>
    </row>
    <row r="8" spans="2:7" x14ac:dyDescent="0.3">
      <c r="B8" s="13" t="s">
        <v>56</v>
      </c>
      <c r="C8">
        <v>4</v>
      </c>
      <c r="F8" s="13" t="s">
        <v>56</v>
      </c>
      <c r="G8">
        <v>4</v>
      </c>
    </row>
    <row r="9" spans="2:7" x14ac:dyDescent="0.3">
      <c r="B9" s="13" t="s">
        <v>225</v>
      </c>
      <c r="C9">
        <v>92</v>
      </c>
      <c r="F9" s="13" t="s">
        <v>225</v>
      </c>
      <c r="G9">
        <v>91</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7EBB8C-7A6C-41D4-8B7C-53D8BD6A4B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All_staff</vt:lpstr>
      <vt:lpstr>India Staff</vt:lpstr>
      <vt:lpstr>NZ Staff</vt:lpstr>
      <vt:lpstr>Employee Trend</vt:lpstr>
      <vt:lpstr>Mapping</vt:lpstr>
      <vt:lpstr>Salary vs Rating</vt:lpstr>
      <vt:lpstr>Male vs Female</vt:lpstr>
      <vt:lpstr>Salary Spread</vt:lpstr>
      <vt:lpstr>IND vs NZ</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Akshay Thakur</cp:lastModifiedBy>
  <dcterms:created xsi:type="dcterms:W3CDTF">2021-03-14T20:21:32Z</dcterms:created>
  <dcterms:modified xsi:type="dcterms:W3CDTF">2023-11-06T05:58:23Z</dcterms:modified>
</cp:coreProperties>
</file>