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mariani/cernbox/Lavoro/Charm/"/>
    </mc:Choice>
  </mc:AlternateContent>
  <xr:revisionPtr revIDLastSave="0" documentId="13_ncr:1_{0020F3A7-9734-EC4B-BF2E-C46A49313653}" xr6:coauthVersionLast="47" xr6:coauthVersionMax="47" xr10:uidLastSave="{00000000-0000-0000-0000-000000000000}"/>
  <bookViews>
    <workbookView xWindow="0" yWindow="0" windowWidth="28800" windowHeight="18000" xr2:uid="{48A0D118-78BB-1A40-AF84-2B9C84A67E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2" i="1" l="1"/>
  <c r="AP12" i="1"/>
  <c r="AP8" i="1"/>
  <c r="AP9" i="1"/>
  <c r="AW9" i="1" s="1"/>
  <c r="AP10" i="1"/>
  <c r="AW10" i="1" s="1"/>
  <c r="AP11" i="1"/>
  <c r="AP7" i="1"/>
  <c r="E5" i="1"/>
  <c r="AO8" i="1"/>
  <c r="AO9" i="1"/>
  <c r="AO10" i="1"/>
  <c r="AS10" i="1" s="1"/>
  <c r="AO11" i="1"/>
  <c r="AV11" i="1" s="1"/>
  <c r="AO7" i="1"/>
  <c r="AB12" i="1"/>
  <c r="AB11" i="1"/>
  <c r="BC12" i="1"/>
  <c r="AY12" i="1"/>
  <c r="AL12" i="1"/>
  <c r="AI12" i="1"/>
  <c r="AF12" i="1"/>
  <c r="AC12" i="1"/>
  <c r="AJ12" i="1"/>
  <c r="AK12" i="1" s="1"/>
  <c r="AS11" i="1"/>
  <c r="AM11" i="1"/>
  <c r="AL11" i="1"/>
  <c r="AI11" i="1"/>
  <c r="AG11" i="1"/>
  <c r="AH11" i="1" s="1"/>
  <c r="AF11" i="1"/>
  <c r="AD11" i="1"/>
  <c r="AC11" i="1"/>
  <c r="AE11" i="1" s="1"/>
  <c r="AJ11" i="1"/>
  <c r="AK11" i="1" s="1"/>
  <c r="BC10" i="1"/>
  <c r="AV10" i="1"/>
  <c r="AM10" i="1"/>
  <c r="AL10" i="1"/>
  <c r="AJ10" i="1"/>
  <c r="AI10" i="1"/>
  <c r="AK10" i="1" s="1"/>
  <c r="AH10" i="1"/>
  <c r="AG10" i="1"/>
  <c r="AF10" i="1"/>
  <c r="AD10" i="1"/>
  <c r="AE10" i="1" s="1"/>
  <c r="AC10" i="1"/>
  <c r="BC9" i="1"/>
  <c r="AS9" i="1"/>
  <c r="AZ9" i="1"/>
  <c r="AV9" i="1"/>
  <c r="AM9" i="1"/>
  <c r="AL9" i="1"/>
  <c r="AJ9" i="1"/>
  <c r="AI9" i="1"/>
  <c r="AK9" i="1" s="1"/>
  <c r="AH9" i="1"/>
  <c r="AG9" i="1"/>
  <c r="AF9" i="1"/>
  <c r="AD9" i="1"/>
  <c r="AC9" i="1"/>
  <c r="AE9" i="1" s="1"/>
  <c r="BC8" i="1"/>
  <c r="AW8" i="1"/>
  <c r="AS8" i="1"/>
  <c r="AZ8" i="1"/>
  <c r="AV8" i="1"/>
  <c r="AM8" i="1"/>
  <c r="AL8" i="1"/>
  <c r="AJ8" i="1"/>
  <c r="AK8" i="1" s="1"/>
  <c r="AI8" i="1"/>
  <c r="AH8" i="1"/>
  <c r="AG8" i="1"/>
  <c r="AF8" i="1"/>
  <c r="AD8" i="1"/>
  <c r="AC8" i="1"/>
  <c r="AE8" i="1" s="1"/>
  <c r="BC7" i="1"/>
  <c r="AW7" i="1"/>
  <c r="AS7" i="1"/>
  <c r="AZ7" i="1"/>
  <c r="AV7" i="1"/>
  <c r="AM7" i="1"/>
  <c r="AL7" i="1"/>
  <c r="AJ7" i="1"/>
  <c r="AK7" i="1" s="1"/>
  <c r="AI7" i="1"/>
  <c r="AH7" i="1"/>
  <c r="AG7" i="1"/>
  <c r="AF7" i="1"/>
  <c r="AD7" i="1"/>
  <c r="AC7" i="1"/>
  <c r="AE7" i="1" s="1"/>
  <c r="AX9" i="1" l="1"/>
  <c r="AX8" i="1"/>
  <c r="AZ10" i="1"/>
  <c r="AY11" i="1"/>
  <c r="BB11" i="1"/>
  <c r="AX10" i="1"/>
  <c r="AZ11" i="1"/>
  <c r="BA11" i="1" s="1"/>
  <c r="AX7" i="1"/>
  <c r="AT7" i="1"/>
  <c r="AU7" i="1" s="1"/>
  <c r="BB7" i="1"/>
  <c r="AT8" i="1"/>
  <c r="AU8" i="1" s="1"/>
  <c r="BB8" i="1"/>
  <c r="AT9" i="1"/>
  <c r="AU9" i="1" s="1"/>
  <c r="BB9" i="1"/>
  <c r="AT10" i="1"/>
  <c r="AU10" i="1" s="1"/>
  <c r="BB10" i="1"/>
  <c r="AW11" i="1"/>
  <c r="AX11" i="1" s="1"/>
  <c r="AG12" i="1"/>
  <c r="AH12" i="1" s="1"/>
  <c r="AV12" i="1"/>
  <c r="AZ12" i="1"/>
  <c r="BA12" i="1" s="1"/>
  <c r="AY7" i="1"/>
  <c r="BA7" i="1" s="1"/>
  <c r="AY8" i="1"/>
  <c r="BA8" i="1" s="1"/>
  <c r="AY9" i="1"/>
  <c r="BA9" i="1" s="1"/>
  <c r="AY10" i="1"/>
  <c r="BA10" i="1" s="1"/>
  <c r="AT11" i="1"/>
  <c r="AU11" i="1" s="1"/>
  <c r="AD12" i="1"/>
  <c r="AE12" i="1" s="1"/>
  <c r="AS12" i="1"/>
  <c r="AW12" i="1"/>
  <c r="BC11" i="1"/>
  <c r="AM12" i="1"/>
  <c r="AT12" i="1"/>
  <c r="BB12" i="1"/>
  <c r="AU12" i="1" l="1"/>
  <c r="AX12" i="1"/>
  <c r="F28" i="1" l="1"/>
  <c r="G28" i="1" s="1"/>
  <c r="I28" i="1" s="1"/>
  <c r="N28" i="1"/>
  <c r="F27" i="1"/>
  <c r="G27" i="1" s="1"/>
  <c r="I27" i="1" s="1"/>
  <c r="N27" i="1"/>
  <c r="H26" i="1"/>
  <c r="J26" i="1" s="1"/>
  <c r="F26" i="1"/>
  <c r="G26" i="1" s="1"/>
  <c r="I26" i="1" s="1"/>
  <c r="N26" i="1"/>
  <c r="F25" i="1"/>
  <c r="G25" i="1" s="1"/>
  <c r="I25" i="1" s="1"/>
  <c r="F24" i="1"/>
  <c r="H24" i="1" s="1"/>
  <c r="J24" i="1" s="1"/>
  <c r="F23" i="1"/>
  <c r="G23" i="1" s="1"/>
  <c r="I23" i="1" s="1"/>
  <c r="G22" i="1"/>
  <c r="I22" i="1" s="1"/>
  <c r="F22" i="1"/>
  <c r="H22" i="1" s="1"/>
  <c r="J22" i="1" s="1"/>
  <c r="F21" i="1"/>
  <c r="H21" i="1" s="1"/>
  <c r="J21" i="1" s="1"/>
  <c r="F20" i="1"/>
  <c r="G20" i="1" s="1"/>
  <c r="I20" i="1" s="1"/>
  <c r="H19" i="1"/>
  <c r="J19" i="1" s="1"/>
  <c r="F19" i="1"/>
  <c r="G19" i="1" s="1"/>
  <c r="I19" i="1" s="1"/>
  <c r="O15" i="1"/>
  <c r="N15" i="1"/>
  <c r="L15" i="1"/>
  <c r="K15" i="1"/>
  <c r="D15" i="1"/>
  <c r="P15" i="1" s="1"/>
  <c r="C15" i="1"/>
  <c r="B15" i="1"/>
  <c r="V13" i="1"/>
  <c r="U13" i="1"/>
  <c r="T13" i="1"/>
  <c r="P13" i="1"/>
  <c r="O13" i="1"/>
  <c r="Q13" i="1" s="1"/>
  <c r="N13" i="1"/>
  <c r="E13" i="1"/>
  <c r="V12" i="1"/>
  <c r="U12" i="1"/>
  <c r="T12" i="1"/>
  <c r="P12" i="1"/>
  <c r="O12" i="1"/>
  <c r="Q12" i="1" s="1"/>
  <c r="N12" i="1"/>
  <c r="E12" i="1"/>
  <c r="V11" i="1"/>
  <c r="U11" i="1"/>
  <c r="T11" i="1"/>
  <c r="P11" i="1"/>
  <c r="O11" i="1"/>
  <c r="Q11" i="1" s="1"/>
  <c r="N11" i="1"/>
  <c r="E11" i="1"/>
  <c r="V10" i="1"/>
  <c r="U10" i="1"/>
  <c r="T10" i="1"/>
  <c r="P10" i="1"/>
  <c r="O10" i="1"/>
  <c r="Q10" i="1" s="1"/>
  <c r="N10" i="1"/>
  <c r="E10" i="1"/>
  <c r="V9" i="1"/>
  <c r="U9" i="1"/>
  <c r="T9" i="1"/>
  <c r="P9" i="1"/>
  <c r="O9" i="1"/>
  <c r="Q9" i="1" s="1"/>
  <c r="N9" i="1"/>
  <c r="E9" i="1"/>
  <c r="V8" i="1"/>
  <c r="U8" i="1"/>
  <c r="T8" i="1"/>
  <c r="P8" i="1"/>
  <c r="O8" i="1"/>
  <c r="Q8" i="1" s="1"/>
  <c r="N8" i="1"/>
  <c r="E8" i="1"/>
  <c r="V7" i="1"/>
  <c r="U7" i="1"/>
  <c r="T7" i="1"/>
  <c r="P7" i="1"/>
  <c r="O7" i="1"/>
  <c r="Q7" i="1" s="1"/>
  <c r="N7" i="1"/>
  <c r="E7" i="1"/>
  <c r="V6" i="1"/>
  <c r="U6" i="1"/>
  <c r="T6" i="1"/>
  <c r="P6" i="1"/>
  <c r="O6" i="1"/>
  <c r="Q6" i="1" s="1"/>
  <c r="N6" i="1"/>
  <c r="E6" i="1"/>
  <c r="V5" i="1"/>
  <c r="U5" i="1"/>
  <c r="T5" i="1"/>
  <c r="P5" i="1"/>
  <c r="O5" i="1"/>
  <c r="Q5" i="1" s="1"/>
  <c r="N5" i="1"/>
  <c r="H23" i="1" l="1"/>
  <c r="J23" i="1" s="1"/>
  <c r="H28" i="1"/>
  <c r="J28" i="1" s="1"/>
  <c r="G24" i="1"/>
  <c r="I24" i="1" s="1"/>
  <c r="Q15" i="1"/>
  <c r="E15" i="1"/>
  <c r="H25" i="1"/>
  <c r="J25" i="1" s="1"/>
  <c r="H27" i="1"/>
  <c r="J27" i="1" s="1"/>
  <c r="H20" i="1"/>
  <c r="J20" i="1" s="1"/>
  <c r="G21" i="1"/>
  <c r="I21" i="1" s="1"/>
</calcChain>
</file>

<file path=xl/sharedStrings.xml><?xml version="1.0" encoding="utf-8"?>
<sst xmlns="http://schemas.openxmlformats.org/spreadsheetml/2006/main" count="101" uniqueCount="52">
  <si>
    <t xml:space="preserve">CMS / ALICE </t>
  </si>
  <si>
    <t>13 TeV</t>
  </si>
  <si>
    <t>CMS</t>
  </si>
  <si>
    <t>FONLL</t>
  </si>
  <si>
    <t>CMS scaled</t>
  </si>
  <si>
    <t>FONLL scaled</t>
  </si>
  <si>
    <t>D0</t>
  </si>
  <si>
    <t>stat</t>
  </si>
  <si>
    <t>syst</t>
  </si>
  <si>
    <t>TOT</t>
  </si>
  <si>
    <t>piu</t>
  </si>
  <si>
    <t>min</t>
  </si>
  <si>
    <t>fonll scal fact</t>
  </si>
  <si>
    <t>err</t>
  </si>
  <si>
    <t>centr</t>
  </si>
  <si>
    <t xml:space="preserve">stat </t>
  </si>
  <si>
    <t>tot</t>
  </si>
  <si>
    <t>pt 4-5</t>
  </si>
  <si>
    <t>pt 5-6</t>
  </si>
  <si>
    <t>pt 6-7</t>
  </si>
  <si>
    <t>pt 7-8</t>
  </si>
  <si>
    <t>pt 8-12</t>
  </si>
  <si>
    <t>pt 12-16</t>
  </si>
  <si>
    <t>pt 16-24</t>
  </si>
  <si>
    <t>pt 24-40</t>
  </si>
  <si>
    <t>pt 40-100</t>
  </si>
  <si>
    <t>pt 12-24</t>
  </si>
  <si>
    <t>ALICE</t>
  </si>
  <si>
    <t>syst plus</t>
  </si>
  <si>
    <t>syst minus</t>
  </si>
  <si>
    <t>LUMI</t>
  </si>
  <si>
    <t>syst plus TOT</t>
  </si>
  <si>
    <t>syst min TOT</t>
  </si>
  <si>
    <t>TOT plus</t>
  </si>
  <si>
    <t>TOT minus</t>
  </si>
  <si>
    <t>pt 1-2</t>
  </si>
  <si>
    <t>pt 2-3</t>
  </si>
  <si>
    <t>pt 3-4</t>
  </si>
  <si>
    <t xml:space="preserve">pt 6-7 </t>
  </si>
  <si>
    <t>pt 8-10</t>
  </si>
  <si>
    <t xml:space="preserve">pt 10-12 </t>
  </si>
  <si>
    <t>Scaling by 8.4 flat</t>
  </si>
  <si>
    <t>Scaling by Yewon factors</t>
  </si>
  <si>
    <t>pt 4 -- 24</t>
  </si>
  <si>
    <t>CMS SCALED</t>
  </si>
  <si>
    <t>err SCALED</t>
  </si>
  <si>
    <t>ALICE / CMS</t>
  </si>
  <si>
    <t>sigma</t>
  </si>
  <si>
    <t>CMS/ALICE</t>
  </si>
  <si>
    <t>(CMS - ALICE)/CMS</t>
  </si>
  <si>
    <t>err/CMS</t>
  </si>
  <si>
    <t>CMS - ALICE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</si>
</sst>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1" fillId="0" borderId="0" xfId="0" applyNumberFormat="1" applyFont="1"/>
    <xf numFmtId="0" fontId="1" fillId="0" borderId="0" xfId="0" applyFont="1"/>
    <xf numFmtId="16" fontId="0" fillId="0" borderId="0" xfId="0" applyNumberForma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5786-E6B3-174D-BC09-0B027C288F80}">
  <dimension ref="A1:BC30"/>
  <sheetViews>
    <sheetView tabSelected="1" workbookViewId="0">
      <selection activeCell="AA17" sqref="AA17"/>
    </sheetView>
  </sheetViews>
  <sheetFormatPr baseColWidth="10" defaultRowHeight="16" x14ac:dyDescent="0.2"/>
  <sheetData>
    <row r="1" spans="1:55" x14ac:dyDescent="0.2">
      <c r="A1" t="s">
        <v>0</v>
      </c>
      <c r="B1" t="s">
        <v>1</v>
      </c>
    </row>
    <row r="3" spans="1:55" x14ac:dyDescent="0.2">
      <c r="A3" t="s">
        <v>2</v>
      </c>
      <c r="G3" t="s">
        <v>3</v>
      </c>
      <c r="N3" t="s">
        <v>4</v>
      </c>
      <c r="T3" t="s">
        <v>5</v>
      </c>
      <c r="Y3" t="s">
        <v>41</v>
      </c>
      <c r="AO3" t="s">
        <v>42</v>
      </c>
    </row>
    <row r="4" spans="1:55" x14ac:dyDescent="0.2">
      <c r="B4" t="s">
        <v>6</v>
      </c>
      <c r="C4" t="s">
        <v>7</v>
      </c>
      <c r="D4" t="s">
        <v>8</v>
      </c>
      <c r="E4" t="s">
        <v>9</v>
      </c>
      <c r="G4" t="s">
        <v>6</v>
      </c>
      <c r="H4" t="s">
        <v>10</v>
      </c>
      <c r="I4" t="s">
        <v>11</v>
      </c>
      <c r="K4" t="s">
        <v>12</v>
      </c>
      <c r="L4" t="s">
        <v>13</v>
      </c>
      <c r="N4" t="s">
        <v>14</v>
      </c>
      <c r="O4" t="s">
        <v>15</v>
      </c>
      <c r="P4" t="s">
        <v>8</v>
      </c>
      <c r="Q4" t="s">
        <v>16</v>
      </c>
    </row>
    <row r="5" spans="1:55" x14ac:dyDescent="0.2">
      <c r="A5" s="1" t="s">
        <v>17</v>
      </c>
      <c r="B5">
        <v>430.23992739157046</v>
      </c>
      <c r="C5">
        <v>58.30392856278452</v>
      </c>
      <c r="D5">
        <v>37.640940411351828</v>
      </c>
      <c r="E5">
        <f>SQRT(C5^2+D5^2)</f>
        <v>69.398764260649628</v>
      </c>
      <c r="G5">
        <v>220</v>
      </c>
      <c r="H5">
        <v>107</v>
      </c>
      <c r="I5">
        <v>157.19999999999999</v>
      </c>
      <c r="K5">
        <v>7.81</v>
      </c>
      <c r="L5">
        <v>0.38</v>
      </c>
      <c r="N5">
        <f>B5/8.4</f>
        <v>51.219038975186955</v>
      </c>
      <c r="O5">
        <f>C5/8.4</f>
        <v>6.940943876521966</v>
      </c>
      <c r="P5">
        <f>D5/8.4</f>
        <v>4.4810643346847412</v>
      </c>
      <c r="Q5">
        <f t="shared" ref="Q5:Q13" si="0">SQRT((O5*O5)+(P5*P5))</f>
        <v>8.2617576500773353</v>
      </c>
      <c r="T5">
        <f t="shared" ref="T5:V13" si="1">G5/8.4</f>
        <v>26.19047619047619</v>
      </c>
      <c r="U5">
        <f t="shared" si="1"/>
        <v>12.738095238095237</v>
      </c>
      <c r="V5">
        <f t="shared" si="1"/>
        <v>18.714285714285712</v>
      </c>
      <c r="X5" t="s">
        <v>43</v>
      </c>
      <c r="AN5" t="s">
        <v>43</v>
      </c>
    </row>
    <row r="6" spans="1:55" x14ac:dyDescent="0.2">
      <c r="A6" s="2" t="s">
        <v>18</v>
      </c>
      <c r="B6">
        <v>230.12014013096851</v>
      </c>
      <c r="C6">
        <v>16.593182795131902</v>
      </c>
      <c r="D6">
        <v>20.537351823091562</v>
      </c>
      <c r="E6">
        <f t="shared" ref="E6:E15" si="2">SQRT(C6^2+D6^2)</f>
        <v>26.402964514957478</v>
      </c>
      <c r="G6">
        <v>117.4</v>
      </c>
      <c r="H6">
        <v>47.400000000000006</v>
      </c>
      <c r="I6">
        <v>71.199999999999989</v>
      </c>
      <c r="K6">
        <v>7.83</v>
      </c>
      <c r="L6">
        <v>0.35</v>
      </c>
      <c r="N6">
        <f t="shared" ref="N6:P15" si="3">B6/8.4</f>
        <v>27.395254777496248</v>
      </c>
      <c r="O6">
        <f t="shared" si="3"/>
        <v>1.9753789041823693</v>
      </c>
      <c r="P6">
        <f t="shared" si="3"/>
        <v>2.4449228360823287</v>
      </c>
      <c r="Q6">
        <f t="shared" si="0"/>
        <v>3.1432100613044613</v>
      </c>
      <c r="T6">
        <f t="shared" si="1"/>
        <v>13.976190476190476</v>
      </c>
      <c r="U6">
        <f t="shared" si="1"/>
        <v>5.6428571428571432</v>
      </c>
      <c r="V6">
        <f t="shared" si="1"/>
        <v>8.4761904761904745</v>
      </c>
      <c r="Y6" t="s">
        <v>44</v>
      </c>
      <c r="Z6" t="s">
        <v>45</v>
      </c>
      <c r="AA6" t="s">
        <v>27</v>
      </c>
      <c r="AB6" t="s">
        <v>13</v>
      </c>
      <c r="AC6" s="5" t="s">
        <v>46</v>
      </c>
      <c r="AD6" s="5" t="s">
        <v>13</v>
      </c>
      <c r="AE6" s="5" t="s">
        <v>47</v>
      </c>
      <c r="AF6" s="6" t="s">
        <v>48</v>
      </c>
      <c r="AG6" s="6" t="s">
        <v>13</v>
      </c>
      <c r="AH6" s="6" t="s">
        <v>47</v>
      </c>
      <c r="AI6" s="7" t="s">
        <v>49</v>
      </c>
      <c r="AJ6" s="7" t="s">
        <v>50</v>
      </c>
      <c r="AK6" s="7" t="s">
        <v>47</v>
      </c>
      <c r="AL6" s="7" t="s">
        <v>51</v>
      </c>
      <c r="AM6" s="7" t="s">
        <v>13</v>
      </c>
      <c r="AO6" t="s">
        <v>44</v>
      </c>
      <c r="AP6" t="s">
        <v>45</v>
      </c>
      <c r="AQ6" t="s">
        <v>27</v>
      </c>
      <c r="AR6" t="s">
        <v>13</v>
      </c>
      <c r="AS6" s="5" t="s">
        <v>46</v>
      </c>
      <c r="AT6" s="5" t="s">
        <v>13</v>
      </c>
      <c r="AU6" s="5" t="s">
        <v>47</v>
      </c>
      <c r="AV6" s="6" t="s">
        <v>48</v>
      </c>
      <c r="AW6" s="6" t="s">
        <v>13</v>
      </c>
      <c r="AX6" s="6" t="s">
        <v>47</v>
      </c>
      <c r="AY6" s="7" t="s">
        <v>49</v>
      </c>
      <c r="AZ6" s="7" t="s">
        <v>50</v>
      </c>
      <c r="BA6" s="7" t="s">
        <v>47</v>
      </c>
      <c r="BB6" s="7" t="s">
        <v>51</v>
      </c>
      <c r="BC6" s="7" t="s">
        <v>13</v>
      </c>
    </row>
    <row r="7" spans="1:55" x14ac:dyDescent="0.2">
      <c r="A7" s="2" t="s">
        <v>19</v>
      </c>
      <c r="B7">
        <v>135.84507319849135</v>
      </c>
      <c r="C7">
        <v>10.720173359341842</v>
      </c>
      <c r="D7">
        <v>12.129035015465252</v>
      </c>
      <c r="E7">
        <f t="shared" si="2"/>
        <v>16.187513930827201</v>
      </c>
      <c r="G7">
        <v>66</v>
      </c>
      <c r="H7">
        <v>22.6</v>
      </c>
      <c r="I7">
        <v>35</v>
      </c>
      <c r="K7">
        <v>7.82</v>
      </c>
      <c r="L7">
        <v>0.32500000000000001</v>
      </c>
      <c r="N7">
        <f t="shared" si="3"/>
        <v>16.172032523629923</v>
      </c>
      <c r="O7">
        <f t="shared" si="3"/>
        <v>1.2762111142073622</v>
      </c>
      <c r="P7">
        <f t="shared" si="3"/>
        <v>1.4439327399363395</v>
      </c>
      <c r="Q7">
        <f t="shared" si="0"/>
        <v>1.9270849917651431</v>
      </c>
      <c r="T7">
        <f t="shared" si="1"/>
        <v>7.8571428571428568</v>
      </c>
      <c r="U7">
        <f t="shared" si="1"/>
        <v>2.6904761904761907</v>
      </c>
      <c r="V7">
        <f t="shared" si="1"/>
        <v>4.1666666666666661</v>
      </c>
      <c r="X7" s="2" t="s">
        <v>17</v>
      </c>
      <c r="Y7">
        <v>51.219038975186955</v>
      </c>
      <c r="Z7">
        <v>8.2617576500773353</v>
      </c>
      <c r="AA7">
        <v>38.64</v>
      </c>
      <c r="AB7">
        <v>3.5338716728257125</v>
      </c>
      <c r="AC7" s="5">
        <f>AA7/Y7</f>
        <v>0.75440697000814749</v>
      </c>
      <c r="AD7" s="5">
        <f>(1/Y7)*SQRT(AB7^2+(AA7^2/Y7^2)*Z7^2)</f>
        <v>0.13988654936574621</v>
      </c>
      <c r="AE7" s="5">
        <f>(1-AC7)/AD7</f>
        <v>1.7556586469920494</v>
      </c>
      <c r="AF7" s="6">
        <f t="shared" ref="AF7:AF12" si="4">Y7/AA7</f>
        <v>1.3255444869354802</v>
      </c>
      <c r="AG7" s="6">
        <f t="shared" ref="AG7:AG12" si="5">(1/AA7)*SQRT(Z7^2+(Y7^2/AA7^2)*AB7^2)</f>
        <v>0.24579020565808166</v>
      </c>
      <c r="AH7" s="6">
        <f>(1-AF7)/AG7</f>
        <v>-1.3244811202458759</v>
      </c>
      <c r="AI7" s="7">
        <f>(Y7-AA7)/Y7</f>
        <v>0.24559302999185254</v>
      </c>
      <c r="AJ7" s="7">
        <f>(SQRT(Z7^2+AB7^2))/Y7</f>
        <v>0.17543898011134793</v>
      </c>
      <c r="AK7" s="7">
        <f>AI7/AJ7</f>
        <v>1.3998772099335</v>
      </c>
      <c r="AL7" s="7">
        <f>Y7-AA7</f>
        <v>12.579038975186954</v>
      </c>
      <c r="AM7" s="7">
        <f>(SQRT(Z7^2+AB7^2))</f>
        <v>8.9858159600901786</v>
      </c>
      <c r="AN7" s="2" t="s">
        <v>17</v>
      </c>
      <c r="AO7">
        <f>B5/K5</f>
        <v>55.088338974592894</v>
      </c>
      <c r="AP7">
        <f>(1/K5)*SQRT(E5^2+(B5^2/K5^2)*L5^2)</f>
        <v>9.2813392394554501</v>
      </c>
      <c r="AQ7">
        <v>38.64</v>
      </c>
      <c r="AR7">
        <v>3.5338716728257125</v>
      </c>
      <c r="AS7" s="5">
        <f>AQ7/AO7</f>
        <v>0.70141886140043219</v>
      </c>
      <c r="AT7" s="5">
        <f>(1/AO7)*SQRT(AR7^2+(AQ7^2/AO7^2)*AP7^2)</f>
        <v>0.13446422438764072</v>
      </c>
      <c r="AU7" s="5">
        <f>(1-AS7)/AT7</f>
        <v>2.2205247526569001</v>
      </c>
      <c r="AV7" s="6">
        <f t="shared" ref="AV7:AV12" si="6">AO7/AQ7</f>
        <v>1.4256816504811824</v>
      </c>
      <c r="AW7" s="6">
        <f t="shared" ref="AW7:AW12" si="7">(1/AQ7)*SQRT(AP7^2+(AO7^2/AQ7^2)*AR7^2)</f>
        <v>0.27330770229488088</v>
      </c>
      <c r="AX7" s="6">
        <f>(1-AV7)/AW7</f>
        <v>-1.5575179437200792</v>
      </c>
      <c r="AY7" s="7">
        <f>(AO7-AQ7)/AO7</f>
        <v>0.29858113859956781</v>
      </c>
      <c r="AZ7" s="7">
        <f>(SQRT(AP7^2+AR7^2))/AO7</f>
        <v>0.18028025216430563</v>
      </c>
      <c r="BA7" s="7">
        <f>AY7/AZ7</f>
        <v>1.6562054635215615</v>
      </c>
      <c r="BB7" s="7">
        <f>AO7-AQ7</f>
        <v>16.448338974592893</v>
      </c>
      <c r="BC7" s="7">
        <f>SQRT(AP7^2+AR7^2)</f>
        <v>9.9313396416523521</v>
      </c>
    </row>
    <row r="8" spans="1:55" x14ac:dyDescent="0.2">
      <c r="A8" s="2" t="s">
        <v>20</v>
      </c>
      <c r="B8">
        <v>65.707093983616332</v>
      </c>
      <c r="C8">
        <v>8.1866196314508173</v>
      </c>
      <c r="D8">
        <v>6.0483510452627272</v>
      </c>
      <c r="E8">
        <f t="shared" si="2"/>
        <v>10.178570201987439</v>
      </c>
      <c r="G8">
        <v>38.96</v>
      </c>
      <c r="H8">
        <v>11.420000000000002</v>
      </c>
      <c r="I8">
        <v>18.380000000000003</v>
      </c>
      <c r="K8">
        <v>7.81</v>
      </c>
      <c r="L8">
        <v>0.31</v>
      </c>
      <c r="N8">
        <f t="shared" si="3"/>
        <v>7.8222730932876585</v>
      </c>
      <c r="O8">
        <f t="shared" si="3"/>
        <v>0.97459757517271628</v>
      </c>
      <c r="P8">
        <f t="shared" si="3"/>
        <v>0.72004179110270561</v>
      </c>
      <c r="Q8">
        <f t="shared" si="0"/>
        <v>1.2117345478556476</v>
      </c>
      <c r="T8">
        <f t="shared" si="1"/>
        <v>4.6380952380952376</v>
      </c>
      <c r="U8">
        <f t="shared" si="1"/>
        <v>1.3595238095238096</v>
      </c>
      <c r="V8">
        <f t="shared" si="1"/>
        <v>2.1880952380952383</v>
      </c>
      <c r="X8" s="2" t="s">
        <v>18</v>
      </c>
      <c r="Y8">
        <v>27.395254777496248</v>
      </c>
      <c r="Z8">
        <v>3.1432100613044613</v>
      </c>
      <c r="AA8">
        <v>18.91</v>
      </c>
      <c r="AB8">
        <v>1.7315802753554337</v>
      </c>
      <c r="AC8" s="5">
        <f t="shared" ref="AC8:AC12" si="8">AA8/Y8</f>
        <v>0.69026552786556172</v>
      </c>
      <c r="AD8" s="5">
        <f t="shared" ref="AD8:AD12" si="9">(1/Y8)*SQRT(AB8^2+(AA8^2/Y8^2)*Z8^2)</f>
        <v>0.10132861291355413</v>
      </c>
      <c r="AE8" s="5">
        <f t="shared" ref="AE8:AE12" si="10">(1-AC8)/AD8</f>
        <v>3.0567325775857621</v>
      </c>
      <c r="AF8" s="6">
        <f t="shared" si="4"/>
        <v>1.4487178623742067</v>
      </c>
      <c r="AG8" s="6">
        <f t="shared" si="5"/>
        <v>0.21266681526367359</v>
      </c>
      <c r="AH8" s="6">
        <f t="shared" ref="AH8:AH12" si="11">(1-AF8)/AG8</f>
        <v>-2.1099571262110959</v>
      </c>
      <c r="AI8" s="7">
        <f t="shared" ref="AI8:AI12" si="12">(Y8-AA8)/Y8</f>
        <v>0.30973447213443828</v>
      </c>
      <c r="AJ8" s="7">
        <f t="shared" ref="AJ8:AJ12" si="13">(SQRT(Z8^2+AB8^2))/Y8</f>
        <v>0.1309939454153512</v>
      </c>
      <c r="AK8" s="7">
        <f t="shared" ref="AK8:AK12" si="14">AI8/AJ8</f>
        <v>2.3644945661598529</v>
      </c>
      <c r="AL8" s="7">
        <f t="shared" ref="AL8:AL12" si="15">Y8-AA8</f>
        <v>8.4852547774962481</v>
      </c>
      <c r="AM8" s="7">
        <f t="shared" ref="AM8:AM12" si="16">(SQRT(Z8^2+AB8^2))</f>
        <v>3.5886125089629828</v>
      </c>
      <c r="AN8" s="2" t="s">
        <v>18</v>
      </c>
      <c r="AO8">
        <f t="shared" ref="AO8:AO12" si="17">B6/K6</f>
        <v>29.389545355168391</v>
      </c>
      <c r="AP8">
        <f t="shared" ref="AP8:AP12" si="18">(1/K6)*SQRT(E6^2+(B6^2/K6^2)*L6^2)</f>
        <v>3.6188936550768935</v>
      </c>
      <c r="AQ8">
        <v>18.91</v>
      </c>
      <c r="AR8">
        <v>1.7315802753554337</v>
      </c>
      <c r="AS8" s="5">
        <f t="shared" ref="AS8:AS12" si="19">AQ8/AO8</f>
        <v>0.64342608133182722</v>
      </c>
      <c r="AT8" s="5">
        <f t="shared" ref="AT8:AT12" si="20">(1/AO8)*SQRT(AR8^2+(AQ8^2/AO8^2)*AP8^2)</f>
        <v>9.8734590677273609E-2</v>
      </c>
      <c r="AU8" s="5">
        <f t="shared" ref="AU8:AU12" si="21">(1-AS8)/AT8</f>
        <v>3.6114386682746207</v>
      </c>
      <c r="AV8" s="6">
        <f t="shared" si="6"/>
        <v>1.5541800822405283</v>
      </c>
      <c r="AW8" s="6">
        <f t="shared" si="7"/>
        <v>0.23849100729824504</v>
      </c>
      <c r="AX8" s="6">
        <f t="shared" ref="AX8:AX12" si="22">(1-AV8)/AW8</f>
        <v>-2.323693830298172</v>
      </c>
      <c r="AY8" s="7">
        <f t="shared" ref="AY8:AY12" si="23">(AO8-AQ8)/AO8</f>
        <v>0.35657391866817284</v>
      </c>
      <c r="AZ8" s="7">
        <f t="shared" ref="AZ8:AZ12" si="24">(SQRT(AP8^2+AR8^2))/AO8</f>
        <v>0.13650526596398926</v>
      </c>
      <c r="BA8" s="7">
        <f t="shared" ref="BA8:BA12" si="25">AY8/AZ8</f>
        <v>2.6121623671444203</v>
      </c>
      <c r="BB8" s="7">
        <f t="shared" ref="BB8:BB12" si="26">AO8-AQ8</f>
        <v>10.479545355168391</v>
      </c>
      <c r="BC8" s="7">
        <f t="shared" ref="BC8:BC12" si="27">SQRT(AP8^2+AR8^2)</f>
        <v>4.0118277052679865</v>
      </c>
    </row>
    <row r="9" spans="1:55" x14ac:dyDescent="0.2">
      <c r="A9" s="2" t="s">
        <v>21</v>
      </c>
      <c r="B9">
        <v>20.972456556611302</v>
      </c>
      <c r="C9">
        <v>0.68818561301431669</v>
      </c>
      <c r="D9">
        <v>1.9304304083286783</v>
      </c>
      <c r="E9">
        <f t="shared" si="2"/>
        <v>2.0494294326372691</v>
      </c>
      <c r="G9">
        <v>14.125</v>
      </c>
      <c r="H9">
        <v>3.5449999999999999</v>
      </c>
      <c r="I9">
        <v>5.52</v>
      </c>
      <c r="K9">
        <v>7.76</v>
      </c>
      <c r="L9">
        <v>0.29499999999999998</v>
      </c>
      <c r="N9">
        <f t="shared" si="3"/>
        <v>2.4967210186442026</v>
      </c>
      <c r="O9">
        <f t="shared" si="3"/>
        <v>8.1926858692180554E-2</v>
      </c>
      <c r="P9">
        <f t="shared" si="3"/>
        <v>0.22981314384865217</v>
      </c>
      <c r="Q9">
        <f t="shared" si="0"/>
        <v>0.24397969436157965</v>
      </c>
      <c r="T9">
        <f t="shared" si="1"/>
        <v>1.6815476190476191</v>
      </c>
      <c r="U9">
        <f t="shared" si="1"/>
        <v>0.42202380952380952</v>
      </c>
      <c r="V9">
        <f t="shared" si="1"/>
        <v>0.65714285714285703</v>
      </c>
      <c r="X9" s="2" t="s">
        <v>38</v>
      </c>
      <c r="Y9">
        <v>16.172032523629923</v>
      </c>
      <c r="Z9">
        <v>1.9270849917651431</v>
      </c>
      <c r="AA9">
        <v>10.67</v>
      </c>
      <c r="AB9">
        <v>1.050724630909545</v>
      </c>
      <c r="AC9" s="5">
        <f t="shared" si="8"/>
        <v>0.65978101295612812</v>
      </c>
      <c r="AD9" s="5">
        <f t="shared" si="9"/>
        <v>0.10199271609683608</v>
      </c>
      <c r="AE9" s="5">
        <f t="shared" si="10"/>
        <v>3.3357184715117696</v>
      </c>
      <c r="AF9" s="6">
        <f t="shared" si="4"/>
        <v>1.5156544070880902</v>
      </c>
      <c r="AG9" s="6">
        <f t="shared" si="5"/>
        <v>0.23429851209333466</v>
      </c>
      <c r="AH9" s="6">
        <f t="shared" si="11"/>
        <v>-2.2008437120705024</v>
      </c>
      <c r="AI9" s="7">
        <f t="shared" si="12"/>
        <v>0.34021898704387188</v>
      </c>
      <c r="AJ9" s="7">
        <f t="shared" si="13"/>
        <v>0.13572327027268424</v>
      </c>
      <c r="AK9" s="7">
        <f t="shared" si="14"/>
        <v>2.5067107973476572</v>
      </c>
      <c r="AL9" s="7">
        <f t="shared" si="15"/>
        <v>5.5020325236299232</v>
      </c>
      <c r="AM9" s="7">
        <f t="shared" si="16"/>
        <v>2.1949211410632641</v>
      </c>
      <c r="AN9" s="2" t="s">
        <v>38</v>
      </c>
      <c r="AO9">
        <f t="shared" si="17"/>
        <v>17.371492736379967</v>
      </c>
      <c r="AP9">
        <f t="shared" si="18"/>
        <v>2.192301991990611</v>
      </c>
      <c r="AQ9">
        <v>10.67</v>
      </c>
      <c r="AR9">
        <v>1.050724630909545</v>
      </c>
      <c r="AS9" s="5">
        <f t="shared" si="19"/>
        <v>0.61422470491868131</v>
      </c>
      <c r="AT9" s="5">
        <f t="shared" si="20"/>
        <v>9.8321977631563973E-2</v>
      </c>
      <c r="AU9" s="5">
        <f t="shared" si="21"/>
        <v>3.9235916971372489</v>
      </c>
      <c r="AV9" s="6">
        <f t="shared" si="6"/>
        <v>1.6280686725754421</v>
      </c>
      <c r="AW9" s="6">
        <f t="shared" si="7"/>
        <v>0.26061298141501066</v>
      </c>
      <c r="AX9" s="6">
        <f t="shared" si="22"/>
        <v>-2.4099669523955143</v>
      </c>
      <c r="AY9" s="7">
        <f t="shared" si="23"/>
        <v>0.38577529508131875</v>
      </c>
      <c r="AZ9" s="7">
        <f t="shared" si="24"/>
        <v>0.13994723656380523</v>
      </c>
      <c r="BA9" s="7">
        <f t="shared" si="25"/>
        <v>2.7565767252962852</v>
      </c>
      <c r="BB9" s="7">
        <f t="shared" si="26"/>
        <v>6.7014927363799668</v>
      </c>
      <c r="BC9" s="7">
        <f t="shared" si="27"/>
        <v>2.4310924034445915</v>
      </c>
    </row>
    <row r="10" spans="1:55" x14ac:dyDescent="0.2">
      <c r="A10" s="2" t="s">
        <v>22</v>
      </c>
      <c r="B10">
        <v>3.9328046620739996</v>
      </c>
      <c r="C10">
        <v>0.1857404916760062</v>
      </c>
      <c r="D10">
        <v>0.43903185475887579</v>
      </c>
      <c r="E10">
        <f t="shared" si="2"/>
        <v>0.47670588389599633</v>
      </c>
      <c r="G10">
        <v>3.1749999999999998</v>
      </c>
      <c r="H10">
        <v>0.6549999999999998</v>
      </c>
      <c r="I10">
        <v>0.91500000000000004</v>
      </c>
      <c r="K10">
        <v>7.67</v>
      </c>
      <c r="L10">
        <v>0.33</v>
      </c>
      <c r="N10">
        <f t="shared" si="3"/>
        <v>0.46819103119928562</v>
      </c>
      <c r="O10">
        <f t="shared" si="3"/>
        <v>2.2111963294762643E-2</v>
      </c>
      <c r="P10">
        <f t="shared" si="3"/>
        <v>5.2265696995104256E-2</v>
      </c>
      <c r="Q10">
        <f t="shared" si="0"/>
        <v>5.6750700463809083E-2</v>
      </c>
      <c r="T10">
        <f t="shared" si="1"/>
        <v>0.37797619047619047</v>
      </c>
      <c r="U10">
        <f t="shared" si="1"/>
        <v>7.7976190476190449E-2</v>
      </c>
      <c r="V10">
        <f t="shared" si="1"/>
        <v>0.10892857142857143</v>
      </c>
      <c r="X10" s="2" t="s">
        <v>20</v>
      </c>
      <c r="Y10">
        <v>7.8222730932876585</v>
      </c>
      <c r="Z10">
        <v>1.2117345478556476</v>
      </c>
      <c r="AA10">
        <v>6.13</v>
      </c>
      <c r="AB10">
        <v>0.61060809853784292</v>
      </c>
      <c r="AC10" s="5">
        <f t="shared" si="8"/>
        <v>0.78365967627238575</v>
      </c>
      <c r="AD10" s="5">
        <f t="shared" si="9"/>
        <v>0.14432678679082178</v>
      </c>
      <c r="AE10" s="5">
        <f t="shared" si="10"/>
        <v>1.4989616864481601</v>
      </c>
      <c r="AF10" s="6">
        <f t="shared" si="4"/>
        <v>1.2760641261480683</v>
      </c>
      <c r="AG10" s="6">
        <f t="shared" si="5"/>
        <v>0.23501303007196495</v>
      </c>
      <c r="AH10" s="6">
        <f t="shared" si="11"/>
        <v>-1.1746758299466749</v>
      </c>
      <c r="AI10" s="7">
        <f t="shared" si="12"/>
        <v>0.21634032372761425</v>
      </c>
      <c r="AJ10" s="7">
        <f t="shared" si="13"/>
        <v>0.17346456464515009</v>
      </c>
      <c r="AK10" s="7">
        <f t="shared" si="14"/>
        <v>1.2471730129445946</v>
      </c>
      <c r="AL10" s="7">
        <f t="shared" si="15"/>
        <v>1.6922730932876586</v>
      </c>
      <c r="AM10" s="7">
        <f t="shared" si="16"/>
        <v>1.3568871966626153</v>
      </c>
      <c r="AN10" s="2" t="s">
        <v>20</v>
      </c>
      <c r="AO10">
        <f t="shared" si="17"/>
        <v>8.413200253984165</v>
      </c>
      <c r="AP10">
        <f t="shared" si="18"/>
        <v>1.3453776044229404</v>
      </c>
      <c r="AQ10">
        <v>6.13</v>
      </c>
      <c r="AR10">
        <v>0.61060809853784292</v>
      </c>
      <c r="AS10" s="5">
        <f t="shared" si="19"/>
        <v>0.728616913296111</v>
      </c>
      <c r="AT10" s="5">
        <f t="shared" si="20"/>
        <v>0.13727070335660763</v>
      </c>
      <c r="AU10" s="5">
        <f t="shared" si="21"/>
        <v>1.9769920315690273</v>
      </c>
      <c r="AV10" s="6">
        <f t="shared" si="6"/>
        <v>1.3724633367021477</v>
      </c>
      <c r="AW10" s="6">
        <f t="shared" si="7"/>
        <v>0.2585707305475281</v>
      </c>
      <c r="AX10" s="6">
        <f t="shared" si="22"/>
        <v>-1.4404698316528324</v>
      </c>
      <c r="AY10" s="7">
        <f t="shared" si="23"/>
        <v>0.27138308670388894</v>
      </c>
      <c r="AZ10" s="7">
        <f t="shared" si="24"/>
        <v>0.17561193078616702</v>
      </c>
      <c r="BA10" s="7">
        <f t="shared" si="25"/>
        <v>1.5453567732498608</v>
      </c>
      <c r="BB10" s="7">
        <f t="shared" si="26"/>
        <v>2.2832002539841652</v>
      </c>
      <c r="BC10" s="7">
        <f t="shared" si="27"/>
        <v>1.4774583406928299</v>
      </c>
    </row>
    <row r="11" spans="1:55" x14ac:dyDescent="0.2">
      <c r="A11" s="2" t="s">
        <v>23</v>
      </c>
      <c r="B11">
        <v>0.81184968377757616</v>
      </c>
      <c r="C11">
        <v>4.8504241636074585E-2</v>
      </c>
      <c r="D11">
        <v>8.7241006160900317E-2</v>
      </c>
      <c r="E11">
        <f t="shared" si="2"/>
        <v>9.9818107639130085E-2</v>
      </c>
      <c r="G11">
        <v>0.6925</v>
      </c>
      <c r="H11">
        <v>0.12250000000000005</v>
      </c>
      <c r="I11">
        <v>0.15500000000000003</v>
      </c>
      <c r="K11">
        <v>7.56</v>
      </c>
      <c r="L11">
        <v>0.39</v>
      </c>
      <c r="N11">
        <f t="shared" si="3"/>
        <v>9.6648771878282871E-2</v>
      </c>
      <c r="O11">
        <f t="shared" si="3"/>
        <v>5.7743144804850693E-3</v>
      </c>
      <c r="P11">
        <f t="shared" si="3"/>
        <v>1.0385834066773847E-2</v>
      </c>
      <c r="Q11">
        <f t="shared" si="0"/>
        <v>1.1883108052277391E-2</v>
      </c>
      <c r="T11">
        <f t="shared" si="1"/>
        <v>8.2440476190476189E-2</v>
      </c>
      <c r="U11">
        <f t="shared" si="1"/>
        <v>1.4583333333333339E-2</v>
      </c>
      <c r="V11">
        <f t="shared" si="1"/>
        <v>1.8452380952380956E-2</v>
      </c>
      <c r="X11" s="2" t="s">
        <v>21</v>
      </c>
      <c r="Y11">
        <v>2.4967210186442026</v>
      </c>
      <c r="Z11">
        <v>0.24397969436157965</v>
      </c>
      <c r="AA11">
        <v>2.1549999999999998</v>
      </c>
      <c r="AB11">
        <f>I30+J30</f>
        <v>0.41519581351269397</v>
      </c>
      <c r="AC11" s="5">
        <f t="shared" si="8"/>
        <v>0.86313207759601107</v>
      </c>
      <c r="AD11" s="5">
        <f t="shared" si="9"/>
        <v>0.18646349850103874</v>
      </c>
      <c r="AE11" s="5">
        <f t="shared" si="10"/>
        <v>0.73401992081161382</v>
      </c>
      <c r="AF11" s="6">
        <f t="shared" si="4"/>
        <v>1.1585712383499782</v>
      </c>
      <c r="AG11" s="6">
        <f t="shared" si="5"/>
        <v>0.25028758862387124</v>
      </c>
      <c r="AH11" s="6">
        <f t="shared" si="11"/>
        <v>-0.63355613924698795</v>
      </c>
      <c r="AI11" s="7">
        <f t="shared" si="12"/>
        <v>0.13686792240398887</v>
      </c>
      <c r="AJ11" s="7">
        <f t="shared" si="13"/>
        <v>0.19288264047208512</v>
      </c>
      <c r="AK11" s="7">
        <f t="shared" si="14"/>
        <v>0.70959170855915898</v>
      </c>
      <c r="AL11" s="7">
        <f t="shared" si="15"/>
        <v>0.34172101864420279</v>
      </c>
      <c r="AM11" s="7">
        <f t="shared" si="16"/>
        <v>0.48157414259824788</v>
      </c>
      <c r="AN11" s="2" t="s">
        <v>21</v>
      </c>
      <c r="AO11">
        <f t="shared" si="17"/>
        <v>2.7026361542024873</v>
      </c>
      <c r="AP11">
        <f t="shared" si="18"/>
        <v>0.28338249089711132</v>
      </c>
      <c r="AQ11">
        <v>2.1549999999999998</v>
      </c>
      <c r="AR11">
        <v>0.20759790675634698</v>
      </c>
      <c r="AS11" s="5">
        <f t="shared" si="19"/>
        <v>0.79736963358869606</v>
      </c>
      <c r="AT11" s="5">
        <f t="shared" si="20"/>
        <v>0.11353618501575563</v>
      </c>
      <c r="AU11" s="5">
        <f t="shared" si="21"/>
        <v>1.7847205838665845</v>
      </c>
      <c r="AV11" s="6">
        <f t="shared" si="6"/>
        <v>1.2541235054303885</v>
      </c>
      <c r="AW11" s="6">
        <f t="shared" si="7"/>
        <v>0.17857263726524136</v>
      </c>
      <c r="AX11" s="6">
        <f t="shared" si="22"/>
        <v>-1.4230819980159015</v>
      </c>
      <c r="AY11" s="7">
        <f t="shared" si="23"/>
        <v>0.202630366411304</v>
      </c>
      <c r="AZ11" s="7">
        <f t="shared" si="24"/>
        <v>0.12997937502758183</v>
      </c>
      <c r="BA11" s="7">
        <f t="shared" si="25"/>
        <v>1.5589424581269566</v>
      </c>
      <c r="BB11" s="7">
        <f t="shared" si="26"/>
        <v>0.54763615420248746</v>
      </c>
      <c r="BC11" s="7">
        <f t="shared" si="27"/>
        <v>0.35128695825018658</v>
      </c>
    </row>
    <row r="12" spans="1:55" x14ac:dyDescent="0.2">
      <c r="A12" s="2" t="s">
        <v>24</v>
      </c>
      <c r="B12">
        <v>9.6986356419819189E-2</v>
      </c>
      <c r="C12">
        <v>9.0003338757592196E-3</v>
      </c>
      <c r="D12">
        <v>1.2494997388139693E-2</v>
      </c>
      <c r="E12">
        <f t="shared" si="2"/>
        <v>1.5399057425854243E-2</v>
      </c>
      <c r="G12">
        <v>8.3750000000000005E-2</v>
      </c>
      <c r="H12">
        <v>1.2500000000000011E-2</v>
      </c>
      <c r="I12">
        <v>1.3749999999999998E-2</v>
      </c>
      <c r="N12">
        <f t="shared" si="3"/>
        <v>1.1545994811883236E-2</v>
      </c>
      <c r="O12">
        <f t="shared" si="3"/>
        <v>1.0714683185427641E-3</v>
      </c>
      <c r="P12">
        <f t="shared" si="3"/>
        <v>1.487499689064249E-3</v>
      </c>
      <c r="Q12">
        <f t="shared" si="0"/>
        <v>1.8332211221255049E-3</v>
      </c>
      <c r="T12">
        <f t="shared" si="1"/>
        <v>9.9702380952380962E-3</v>
      </c>
      <c r="U12">
        <f t="shared" si="1"/>
        <v>1.4880952380952393E-3</v>
      </c>
      <c r="V12">
        <f t="shared" si="1"/>
        <v>1.6369047619047617E-3</v>
      </c>
      <c r="X12" s="2" t="s">
        <v>26</v>
      </c>
      <c r="Y12">
        <v>0.22049619165195047</v>
      </c>
      <c r="Z12">
        <v>2.6806906605787502E-2</v>
      </c>
      <c r="AA12">
        <v>0.25</v>
      </c>
      <c r="AB12">
        <f>I28+J28</f>
        <v>5.1234753829797995E-2</v>
      </c>
      <c r="AC12" s="5">
        <f t="shared" si="8"/>
        <v>1.1338064305193116</v>
      </c>
      <c r="AD12" s="5">
        <f t="shared" si="9"/>
        <v>0.27017103980045437</v>
      </c>
      <c r="AE12" s="5">
        <f t="shared" si="10"/>
        <v>-0.49526563105408972</v>
      </c>
      <c r="AF12" s="6">
        <f t="shared" si="4"/>
        <v>0.8819847666078019</v>
      </c>
      <c r="AG12" s="6">
        <f t="shared" si="5"/>
        <v>0.21016527607225652</v>
      </c>
      <c r="AH12" s="6">
        <f t="shared" si="11"/>
        <v>0.56153535730433179</v>
      </c>
      <c r="AI12" s="7">
        <f t="shared" si="12"/>
        <v>-0.1338064305193116</v>
      </c>
      <c r="AJ12" s="7">
        <f t="shared" si="13"/>
        <v>0.26224470649689519</v>
      </c>
      <c r="AK12" s="7">
        <f t="shared" si="14"/>
        <v>-0.51023501029522511</v>
      </c>
      <c r="AL12" s="7">
        <f t="shared" si="15"/>
        <v>-2.9503808348049526E-2</v>
      </c>
      <c r="AM12" s="7">
        <f t="shared" si="16"/>
        <v>5.78239590634489E-2</v>
      </c>
      <c r="AN12" s="2" t="s">
        <v>26</v>
      </c>
      <c r="AO12">
        <f>B15/K15</f>
        <v>0.24381325272615847</v>
      </c>
      <c r="AP12">
        <f>(1/K15)*SQRT(E15^2+(B15^2/K15^2)*L15^2)</f>
        <v>3.1931908094753526E-2</v>
      </c>
      <c r="AQ12">
        <v>0.25</v>
      </c>
      <c r="AR12">
        <v>2.5617376914898998E-2</v>
      </c>
      <c r="AS12" s="5">
        <f t="shared" si="19"/>
        <v>1.0253749425212346</v>
      </c>
      <c r="AT12" s="5">
        <f t="shared" si="20"/>
        <v>0.17051095534823543</v>
      </c>
      <c r="AU12" s="5">
        <f t="shared" si="21"/>
        <v>-0.14881708022461806</v>
      </c>
      <c r="AV12" s="6">
        <f t="shared" si="6"/>
        <v>0.9752530109046339</v>
      </c>
      <c r="AW12" s="6">
        <f t="shared" si="7"/>
        <v>0.16217611304866505</v>
      </c>
      <c r="AX12" s="6">
        <f t="shared" si="22"/>
        <v>0.15259330508149582</v>
      </c>
      <c r="AY12" s="7">
        <f t="shared" si="23"/>
        <v>-2.5374942521234636E-2</v>
      </c>
      <c r="AZ12" s="7">
        <f t="shared" si="24"/>
        <v>0.16790604094097022</v>
      </c>
      <c r="BA12" s="7">
        <f t="shared" si="25"/>
        <v>-0.15112584621154615</v>
      </c>
      <c r="BB12" s="7">
        <f t="shared" si="26"/>
        <v>-6.1867472738415252E-3</v>
      </c>
      <c r="BC12" s="7">
        <f t="shared" si="27"/>
        <v>4.0937717994189486E-2</v>
      </c>
    </row>
    <row r="13" spans="1:55" x14ac:dyDescent="0.2">
      <c r="A13" s="2" t="s">
        <v>25</v>
      </c>
      <c r="B13">
        <v>3.3123104203494134E-3</v>
      </c>
      <c r="C13">
        <v>7.2798031216470623E-4</v>
      </c>
      <c r="D13">
        <v>8.1213387977765203E-4</v>
      </c>
      <c r="E13">
        <f t="shared" si="2"/>
        <v>1.0906497025086124E-3</v>
      </c>
      <c r="G13">
        <v>3.2666666666666669E-3</v>
      </c>
      <c r="H13">
        <v>3.7666666666666708E-4</v>
      </c>
      <c r="I13">
        <v>3.9999999999999975E-4</v>
      </c>
      <c r="N13">
        <f t="shared" si="3"/>
        <v>3.9432266908921585E-4</v>
      </c>
      <c r="O13">
        <f t="shared" si="3"/>
        <v>8.6664322876750736E-5</v>
      </c>
      <c r="P13">
        <f t="shared" si="3"/>
        <v>9.6682604735434763E-5</v>
      </c>
      <c r="Q13">
        <f t="shared" si="0"/>
        <v>1.2983925029864433E-4</v>
      </c>
      <c r="T13">
        <f t="shared" si="1"/>
        <v>3.8888888888888892E-4</v>
      </c>
      <c r="U13">
        <f t="shared" si="1"/>
        <v>4.4841269841269886E-5</v>
      </c>
      <c r="V13">
        <f t="shared" si="1"/>
        <v>4.7619047619047586E-5</v>
      </c>
    </row>
    <row r="15" spans="1:55" x14ac:dyDescent="0.2">
      <c r="A15" s="2" t="s">
        <v>26</v>
      </c>
      <c r="B15">
        <f>(B10*4+B11*8)/12</f>
        <v>1.852168009876384</v>
      </c>
      <c r="C15">
        <f>(C10*4+C11*8)/12</f>
        <v>9.4249658316051796E-2</v>
      </c>
      <c r="D15">
        <f>(D10*4+D11*8)/12</f>
        <v>0.20450462236022549</v>
      </c>
      <c r="E15">
        <f t="shared" si="2"/>
        <v>0.22517801548861502</v>
      </c>
      <c r="K15">
        <f>(K10*4+K11*8)/12</f>
        <v>7.5966666666666667</v>
      </c>
      <c r="L15">
        <f>(L10*4+L11*8)/12</f>
        <v>0.37000000000000005</v>
      </c>
      <c r="M15" s="2" t="s">
        <v>26</v>
      </c>
      <c r="N15">
        <f t="shared" si="3"/>
        <v>0.22049619165195047</v>
      </c>
      <c r="O15">
        <f t="shared" si="3"/>
        <v>1.1220197418577594E-2</v>
      </c>
      <c r="P15">
        <f t="shared" si="3"/>
        <v>2.4345788376217318E-2</v>
      </c>
      <c r="Q15">
        <f t="shared" ref="Q15" si="28">SQRT((O15*O15)+(P15*P15))</f>
        <v>2.6806906605787502E-2</v>
      </c>
    </row>
    <row r="17" spans="1:16" x14ac:dyDescent="0.2">
      <c r="A17" s="2" t="s">
        <v>27</v>
      </c>
      <c r="N17" t="s">
        <v>3</v>
      </c>
    </row>
    <row r="18" spans="1:16" x14ac:dyDescent="0.2">
      <c r="B18" t="s">
        <v>6</v>
      </c>
      <c r="C18" t="s">
        <v>7</v>
      </c>
      <c r="D18" t="s">
        <v>28</v>
      </c>
      <c r="E18" t="s">
        <v>29</v>
      </c>
      <c r="F18" t="s">
        <v>30</v>
      </c>
      <c r="G18" t="s">
        <v>31</v>
      </c>
      <c r="H18" t="s">
        <v>32</v>
      </c>
      <c r="I18" t="s">
        <v>33</v>
      </c>
      <c r="J18" t="s">
        <v>34</v>
      </c>
      <c r="N18" s="4" t="s">
        <v>6</v>
      </c>
      <c r="O18" s="4" t="s">
        <v>11</v>
      </c>
      <c r="P18" s="4" t="s">
        <v>10</v>
      </c>
    </row>
    <row r="19" spans="1:16" x14ac:dyDescent="0.2">
      <c r="A19" s="3" t="s">
        <v>35</v>
      </c>
      <c r="B19">
        <v>230.59</v>
      </c>
      <c r="C19">
        <v>11.43</v>
      </c>
      <c r="D19">
        <v>25.8</v>
      </c>
      <c r="E19">
        <v>26.07</v>
      </c>
      <c r="F19">
        <f t="shared" ref="F19:F28" si="29">5*B19/100</f>
        <v>11.529500000000001</v>
      </c>
      <c r="G19">
        <f t="shared" ref="G19:G28" si="30">SQRT((D19*D19)+(F19*F19))</f>
        <v>28.258969730865985</v>
      </c>
      <c r="H19">
        <f>SQRT((E19*E19)+(F19*F19))</f>
        <v>28.505688384075203</v>
      </c>
      <c r="I19">
        <f t="shared" ref="I19:I28" si="31">SQRT((C19*C19)+(G19*G19))</f>
        <v>30.48301609503233</v>
      </c>
      <c r="J19">
        <f t="shared" ref="J19:J27" si="32">SQRT((C19*C19)+(H19*H19))</f>
        <v>30.711873440902298</v>
      </c>
      <c r="N19" s="4">
        <v>153.19999999999999</v>
      </c>
      <c r="O19" s="4">
        <v>141.70999999999998</v>
      </c>
      <c r="P19" s="4">
        <v>216.01</v>
      </c>
    </row>
    <row r="20" spans="1:16" x14ac:dyDescent="0.2">
      <c r="A20" s="2" t="s">
        <v>36</v>
      </c>
      <c r="B20">
        <v>157.28</v>
      </c>
      <c r="C20">
        <v>3.29</v>
      </c>
      <c r="D20">
        <v>11.56</v>
      </c>
      <c r="E20">
        <v>12.34</v>
      </c>
      <c r="F20">
        <f t="shared" si="29"/>
        <v>7.8639999999999999</v>
      </c>
      <c r="G20">
        <f t="shared" si="30"/>
        <v>13.981276622683637</v>
      </c>
      <c r="H20">
        <f t="shared" ref="H20:H28" si="33">SQRT((E20*E20)+(F20*F20))</f>
        <v>14.632774719785717</v>
      </c>
      <c r="I20">
        <f t="shared" si="31"/>
        <v>14.363154110431315</v>
      </c>
      <c r="J20">
        <f t="shared" si="32"/>
        <v>14.998073076232158</v>
      </c>
      <c r="N20" s="4">
        <v>103.3</v>
      </c>
      <c r="O20" s="4">
        <v>80.19</v>
      </c>
      <c r="P20" s="4">
        <v>110.7</v>
      </c>
    </row>
    <row r="21" spans="1:16" x14ac:dyDescent="0.2">
      <c r="A21" s="2" t="s">
        <v>37</v>
      </c>
      <c r="B21">
        <v>80.64</v>
      </c>
      <c r="C21">
        <v>1.46</v>
      </c>
      <c r="D21">
        <v>5.6</v>
      </c>
      <c r="E21">
        <v>6.16</v>
      </c>
      <c r="F21">
        <f t="shared" si="29"/>
        <v>4.032</v>
      </c>
      <c r="G21">
        <f t="shared" si="30"/>
        <v>6.9005089667357149</v>
      </c>
      <c r="H21">
        <f t="shared" si="33"/>
        <v>7.362243136436069</v>
      </c>
      <c r="I21">
        <f t="shared" si="31"/>
        <v>7.0532704471046621</v>
      </c>
      <c r="J21">
        <f t="shared" si="32"/>
        <v>7.5056128330736591</v>
      </c>
      <c r="N21" s="4">
        <v>53.1</v>
      </c>
      <c r="O21" s="4">
        <v>32.650000000000006</v>
      </c>
      <c r="P21" s="4">
        <v>45.469999999999992</v>
      </c>
    </row>
    <row r="22" spans="1:16" x14ac:dyDescent="0.2">
      <c r="A22" s="2" t="s">
        <v>17</v>
      </c>
      <c r="B22">
        <v>38.64</v>
      </c>
      <c r="C22">
        <v>0.7</v>
      </c>
      <c r="D22">
        <v>2.69</v>
      </c>
      <c r="E22">
        <v>3.06</v>
      </c>
      <c r="F22">
        <f t="shared" si="29"/>
        <v>1.9319999999999999</v>
      </c>
      <c r="G22">
        <f t="shared" si="30"/>
        <v>3.3119063996435649</v>
      </c>
      <c r="H22">
        <f t="shared" si="33"/>
        <v>3.6188705420337985</v>
      </c>
      <c r="I22">
        <f t="shared" si="31"/>
        <v>3.3850737067307706</v>
      </c>
      <c r="J22">
        <f t="shared" si="32"/>
        <v>3.6859495384500316</v>
      </c>
      <c r="N22" s="4">
        <v>26.9</v>
      </c>
      <c r="O22" s="4">
        <v>13.469999999999999</v>
      </c>
      <c r="P22" s="4">
        <v>19.200000000000003</v>
      </c>
    </row>
    <row r="23" spans="1:16" x14ac:dyDescent="0.2">
      <c r="A23" s="2" t="s">
        <v>18</v>
      </c>
      <c r="B23">
        <v>18.91</v>
      </c>
      <c r="C23">
        <v>0.38</v>
      </c>
      <c r="D23">
        <v>1.38</v>
      </c>
      <c r="E23">
        <v>1.62</v>
      </c>
      <c r="F23">
        <f t="shared" si="29"/>
        <v>0.94550000000000001</v>
      </c>
      <c r="G23">
        <f t="shared" si="30"/>
        <v>1.6728330012287538</v>
      </c>
      <c r="H23">
        <f t="shared" si="33"/>
        <v>1.8757319238100099</v>
      </c>
      <c r="I23">
        <f t="shared" si="31"/>
        <v>1.7154504510477706</v>
      </c>
      <c r="J23">
        <f t="shared" si="32"/>
        <v>1.9138365264567403</v>
      </c>
      <c r="N23" s="4">
        <v>14.29</v>
      </c>
      <c r="O23" s="4">
        <v>5.9599999999999991</v>
      </c>
      <c r="P23" s="4">
        <v>8.7600000000000016</v>
      </c>
    </row>
    <row r="24" spans="1:16" x14ac:dyDescent="0.2">
      <c r="A24" s="2" t="s">
        <v>38</v>
      </c>
      <c r="B24">
        <v>10.67</v>
      </c>
      <c r="C24">
        <v>0.25</v>
      </c>
      <c r="D24">
        <v>0.81</v>
      </c>
      <c r="E24">
        <v>0.93</v>
      </c>
      <c r="F24">
        <f t="shared" si="29"/>
        <v>0.53349999999999997</v>
      </c>
      <c r="G24">
        <f t="shared" si="30"/>
        <v>0.96990837196098068</v>
      </c>
      <c r="H24">
        <f t="shared" si="33"/>
        <v>1.0721577542507446</v>
      </c>
      <c r="I24">
        <f t="shared" si="31"/>
        <v>1.0016098292249334</v>
      </c>
      <c r="J24">
        <f t="shared" si="32"/>
        <v>1.1009188208037866</v>
      </c>
      <c r="N24" s="4">
        <v>8.0350000000000001</v>
      </c>
      <c r="O24" s="4">
        <v>2.8550000000000004</v>
      </c>
      <c r="P24" s="4">
        <v>4.3149999999999995</v>
      </c>
    </row>
    <row r="25" spans="1:16" x14ac:dyDescent="0.2">
      <c r="A25" s="2" t="s">
        <v>20</v>
      </c>
      <c r="B25">
        <v>6.13</v>
      </c>
      <c r="C25">
        <v>0.17</v>
      </c>
      <c r="D25">
        <v>0.46</v>
      </c>
      <c r="E25">
        <v>0.53</v>
      </c>
      <c r="F25">
        <f t="shared" si="29"/>
        <v>0.30649999999999999</v>
      </c>
      <c r="G25">
        <f t="shared" si="30"/>
        <v>0.55275876293370507</v>
      </c>
      <c r="H25">
        <f t="shared" si="33"/>
        <v>0.61224361981159103</v>
      </c>
      <c r="I25">
        <f t="shared" si="31"/>
        <v>0.57830982180834511</v>
      </c>
      <c r="J25">
        <f t="shared" si="32"/>
        <v>0.63540715293424266</v>
      </c>
      <c r="N25" s="4">
        <v>4.7519999999999998</v>
      </c>
      <c r="O25" s="4">
        <v>1.472</v>
      </c>
      <c r="P25" s="4">
        <v>2.2780000000000005</v>
      </c>
    </row>
    <row r="26" spans="1:16" x14ac:dyDescent="0.2">
      <c r="A26" s="2" t="s">
        <v>39</v>
      </c>
      <c r="B26">
        <v>3.03</v>
      </c>
      <c r="C26">
        <v>0.08</v>
      </c>
      <c r="D26">
        <v>0.22</v>
      </c>
      <c r="E26">
        <v>0.25</v>
      </c>
      <c r="F26">
        <f t="shared" si="29"/>
        <v>0.1515</v>
      </c>
      <c r="G26">
        <f t="shared" si="30"/>
        <v>0.26711841943228104</v>
      </c>
      <c r="H26">
        <f t="shared" si="33"/>
        <v>0.29232216816382572</v>
      </c>
      <c r="I26">
        <f t="shared" si="31"/>
        <v>0.27884090445987297</v>
      </c>
      <c r="J26">
        <f t="shared" si="32"/>
        <v>0.30307136123362105</v>
      </c>
      <c r="N26" s="4">
        <f>4.822/2</f>
        <v>2.411</v>
      </c>
      <c r="O26" s="4">
        <v>0.65600000000000014</v>
      </c>
      <c r="P26" s="4">
        <v>1.0089999999999999</v>
      </c>
    </row>
    <row r="27" spans="1:16" x14ac:dyDescent="0.2">
      <c r="A27" s="2" t="s">
        <v>40</v>
      </c>
      <c r="B27">
        <v>1.28</v>
      </c>
      <c r="C27">
        <v>0.05</v>
      </c>
      <c r="D27">
        <v>0.09</v>
      </c>
      <c r="E27">
        <v>0.1</v>
      </c>
      <c r="F27">
        <f t="shared" si="29"/>
        <v>6.4000000000000001E-2</v>
      </c>
      <c r="G27">
        <f t="shared" si="30"/>
        <v>0.11043550153822818</v>
      </c>
      <c r="H27">
        <f t="shared" si="33"/>
        <v>0.11872657663724664</v>
      </c>
      <c r="I27">
        <f t="shared" si="31"/>
        <v>0.12122705968553391</v>
      </c>
      <c r="J27">
        <f t="shared" si="32"/>
        <v>0.12882546332150333</v>
      </c>
      <c r="N27" s="4">
        <f>2.107/2</f>
        <v>1.0535000000000001</v>
      </c>
      <c r="O27" s="4">
        <v>0.25850000000000006</v>
      </c>
      <c r="P27" s="4">
        <v>0.37474999999999992</v>
      </c>
    </row>
    <row r="28" spans="1:16" x14ac:dyDescent="0.2">
      <c r="A28" s="2" t="s">
        <v>26</v>
      </c>
      <c r="B28">
        <v>0.25</v>
      </c>
      <c r="C28">
        <v>0.01</v>
      </c>
      <c r="D28">
        <v>0.02</v>
      </c>
      <c r="E28">
        <v>0.02</v>
      </c>
      <c r="F28">
        <f t="shared" si="29"/>
        <v>1.2500000000000001E-2</v>
      </c>
      <c r="G28">
        <f t="shared" si="30"/>
        <v>2.358495283014151E-2</v>
      </c>
      <c r="H28">
        <f t="shared" si="33"/>
        <v>2.358495283014151E-2</v>
      </c>
      <c r="I28">
        <f t="shared" si="31"/>
        <v>2.5617376914898998E-2</v>
      </c>
      <c r="J28">
        <f>SQRT((C28*C28)+(H28*H28))</f>
        <v>2.5617376914898998E-2</v>
      </c>
      <c r="N28" s="4">
        <f>2.275/12</f>
        <v>0.18958333333333333</v>
      </c>
      <c r="O28" s="4">
        <v>4.0808333333333308E-2</v>
      </c>
      <c r="P28" s="4">
        <v>5.3608333333333341E-2</v>
      </c>
    </row>
    <row r="30" spans="1:16" x14ac:dyDescent="0.2">
      <c r="A30" s="2" t="s">
        <v>21</v>
      </c>
      <c r="B30">
        <v>2.1549999999999998</v>
      </c>
      <c r="C30">
        <v>6.5000000000000002E-2</v>
      </c>
      <c r="D30">
        <v>0.155</v>
      </c>
      <c r="E30">
        <v>0.17499999999999999</v>
      </c>
      <c r="F30">
        <v>0.10774999999999998</v>
      </c>
      <c r="G30">
        <v>0.18877251521341765</v>
      </c>
      <c r="H30">
        <v>0.20551170891216877</v>
      </c>
      <c r="I30">
        <v>0.19964984973698327</v>
      </c>
      <c r="J30">
        <v>0.2155459637757107</v>
      </c>
      <c r="M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Mariani</dc:creator>
  <cp:lastModifiedBy>Valentina Mariani</cp:lastModifiedBy>
  <dcterms:created xsi:type="dcterms:W3CDTF">2021-10-26T13:46:54Z</dcterms:created>
  <dcterms:modified xsi:type="dcterms:W3CDTF">2021-10-26T14:09:58Z</dcterms:modified>
</cp:coreProperties>
</file>